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J:\PSCSNS\Tariffs\2021_22\Final\SHEPD\CDCM\"/>
    </mc:Choice>
  </mc:AlternateContent>
  <xr:revisionPtr revIDLastSave="0" documentId="13_ncr:1_{957B0013-1DDA-449C-AA71-5930B4DAA88D}" xr6:coauthVersionLast="41" xr6:coauthVersionMax="41" xr10:uidLastSave="{00000000-0000-0000-0000-000000000000}"/>
  <workbookProtection lockStructure="1"/>
  <bookViews>
    <workbookView xWindow="-120" yWindow="-120" windowWidth="25440" windowHeight="15390" tabRatio="933" xr2:uid="{00000000-000D-0000-FFFF-FFFF00000000}"/>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Reactive power charges" sheetId="72" r:id="rId21"/>
    <sheet name="Capacity charges" sheetId="73" r:id="rId22"/>
    <sheet name="Fixed charges" sheetId="74" r:id="rId23"/>
    <sheet name="Revenue matching" sheetId="41" r:id="rId24"/>
    <sheet name="Fixed charge adder" sheetId="112"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hours_in_day" comment="Hours per day">'Fixed inputs'!$H$15</definedName>
    <definedName name="hours_in_year" comment="Hours in the charging year">'General inputs'!$H$93</definedName>
    <definedName name="HTML_CodePage" hidden="1">1252</definedName>
    <definedName name="HTML_Control" localSheetId="21" hidden="1">{"'Sheet1'!$A$1:$G$85"}</definedName>
    <definedName name="HTML_Control" localSheetId="0" hidden="1">{"'Sheet1'!$A$1:$G$85"}</definedName>
    <definedName name="HTML_Control" localSheetId="24"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0" hidden="1">{"'Sheet1'!$A$1:$G$85"}</definedName>
    <definedName name="HTML_Control" localSheetId="23" hidden="1">{"'Sheet1'!$A$1:$G$85"}</definedName>
    <definedName name="HTML_Control" localSheetId="25" hidden="1">{"'Sheet1'!$A$1:$G$85"}</definedName>
    <definedName name="HTML_Control" localSheetId="18"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6" i="89" l="1"/>
  <c r="G70" i="85" l="1"/>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Y23" i="112" l="1"/>
  <c r="X23" i="112"/>
  <c r="W23" i="112"/>
  <c r="V23" i="112"/>
  <c r="U23" i="112"/>
  <c r="T23" i="112"/>
  <c r="S23" i="112"/>
  <c r="R23" i="112"/>
  <c r="Q23" i="112"/>
  <c r="P23" i="112"/>
  <c r="O23" i="112"/>
  <c r="N23" i="112"/>
  <c r="M23" i="112"/>
  <c r="L23" i="112"/>
  <c r="K23" i="112"/>
  <c r="J23" i="112"/>
  <c r="H31" i="112" l="1"/>
  <c r="H30" i="112"/>
  <c r="J20" i="112" l="1"/>
  <c r="H41" i="41"/>
  <c r="H40" i="41"/>
  <c r="K26" i="112"/>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N21" i="112"/>
  <c r="M21" i="112"/>
  <c r="L21" i="112"/>
  <c r="K21" i="112"/>
  <c r="J21" i="112"/>
  <c r="Y20" i="112"/>
  <c r="X20" i="112"/>
  <c r="W20" i="112"/>
  <c r="V20" i="112"/>
  <c r="U20" i="112"/>
  <c r="T20" i="112"/>
  <c r="S20" i="112"/>
  <c r="R20" i="112"/>
  <c r="Q20" i="112"/>
  <c r="P20" i="112"/>
  <c r="O20" i="112"/>
  <c r="N20" i="112"/>
  <c r="M20" i="112"/>
  <c r="L20" i="112"/>
  <c r="K20" i="112"/>
  <c r="A2" i="112"/>
  <c r="A1" i="112"/>
  <c r="C16" i="112" s="1"/>
  <c r="G186" i="85" s="1"/>
  <c r="V45" i="112" l="1"/>
  <c r="V37" i="112"/>
  <c r="M44" i="112"/>
  <c r="M36" i="112"/>
  <c r="U45" i="112"/>
  <c r="U37" i="112"/>
  <c r="M37" i="112"/>
  <c r="M45" i="112"/>
  <c r="T44" i="112"/>
  <c r="T36" i="112"/>
  <c r="L36" i="112"/>
  <c r="L44" i="112"/>
  <c r="T37" i="112"/>
  <c r="T45" i="112"/>
  <c r="L37" i="112"/>
  <c r="S44" i="112"/>
  <c r="S36" i="112"/>
  <c r="K44" i="112"/>
  <c r="K36" i="112"/>
  <c r="J36" i="112"/>
  <c r="S37" i="112"/>
  <c r="S45" i="112"/>
  <c r="K45" i="112"/>
  <c r="K37" i="112"/>
  <c r="R36" i="112"/>
  <c r="R44" i="112"/>
  <c r="J37" i="112"/>
  <c r="R37" i="112"/>
  <c r="R45" i="112"/>
  <c r="Y36" i="112"/>
  <c r="Y44" i="112"/>
  <c r="Q36" i="112"/>
  <c r="Q44" i="112"/>
  <c r="N37" i="112"/>
  <c r="Y37" i="112"/>
  <c r="Y45" i="112"/>
  <c r="P44" i="112"/>
  <c r="P36" i="112"/>
  <c r="X45" i="112"/>
  <c r="X37" i="112"/>
  <c r="P37" i="112"/>
  <c r="W44" i="112"/>
  <c r="W36" i="112"/>
  <c r="O44" i="112"/>
  <c r="O36" i="112"/>
  <c r="U36" i="112"/>
  <c r="U44" i="112"/>
  <c r="Q37" i="112"/>
  <c r="Q45" i="112"/>
  <c r="X44" i="112"/>
  <c r="X36" i="112"/>
  <c r="W45" i="112"/>
  <c r="W37" i="112"/>
  <c r="O37" i="112"/>
  <c r="V44" i="112"/>
  <c r="V36" i="112"/>
  <c r="N36" i="112"/>
  <c r="N44" i="112"/>
  <c r="C33" i="112"/>
  <c r="G187" i="85" s="1"/>
  <c r="C48" i="112"/>
  <c r="G188" i="85" s="1"/>
  <c r="V46" i="112" l="1"/>
  <c r="V50" i="112" s="1"/>
  <c r="U46" i="112"/>
  <c r="U50" i="112" s="1"/>
  <c r="W46" i="112"/>
  <c r="W50" i="112" s="1"/>
  <c r="X46" i="112"/>
  <c r="X50" i="112" s="1"/>
  <c r="K46" i="112"/>
  <c r="K50" i="112" s="1"/>
  <c r="H41" i="112"/>
  <c r="H40" i="112"/>
  <c r="J44" i="112" s="1"/>
  <c r="Q46" i="112"/>
  <c r="Q50" i="112" s="1"/>
  <c r="R46" i="112"/>
  <c r="R50" i="112" s="1"/>
  <c r="M46" i="112"/>
  <c r="M50" i="112" s="1"/>
  <c r="Y46" i="112"/>
  <c r="Y50" i="112" s="1"/>
  <c r="S46" i="112"/>
  <c r="S50" i="112" s="1"/>
  <c r="T46" i="112"/>
  <c r="T50" i="112" s="1"/>
  <c r="H23" i="81"/>
  <c r="O45" i="112" l="1"/>
  <c r="O46" i="112" s="1"/>
  <c r="O50" i="112" s="1"/>
  <c r="L45" i="112"/>
  <c r="L46" i="112" s="1"/>
  <c r="L50" i="112" s="1"/>
  <c r="J45" i="112"/>
  <c r="J46" i="112" s="1"/>
  <c r="N45" i="112"/>
  <c r="N46" i="112" s="1"/>
  <c r="N50" i="112" s="1"/>
  <c r="P45" i="112"/>
  <c r="P46" i="112" s="1"/>
  <c r="P50" i="112" s="1"/>
  <c r="M38" i="53"/>
  <c r="L38" i="53"/>
  <c r="K38" i="53"/>
  <c r="J38" i="53"/>
  <c r="J50" i="112" l="1"/>
  <c r="K116" i="41"/>
  <c r="L116" i="41" s="1"/>
  <c r="M116" i="41" s="1"/>
  <c r="N116" i="41" s="1"/>
  <c r="O116" i="41" s="1"/>
  <c r="P116" i="41" s="1"/>
  <c r="Q116" i="41" s="1"/>
  <c r="R116" i="41" s="1"/>
  <c r="S116" i="41" s="1"/>
  <c r="T116" i="41" s="1"/>
  <c r="U116" i="41" s="1"/>
  <c r="V116" i="41" s="1"/>
  <c r="W116" i="41" s="1"/>
  <c r="X116" i="41" s="1"/>
  <c r="Y116" i="41" s="1"/>
  <c r="Z116" i="41" s="1"/>
  <c r="AA116" i="41" s="1"/>
  <c r="AB116" i="41" s="1"/>
  <c r="AC116" i="41" s="1"/>
  <c r="AD116" i="41" s="1"/>
  <c r="AE116" i="41" s="1"/>
  <c r="AF116" i="41" s="1"/>
  <c r="AG116" i="41" s="1"/>
  <c r="AH116" i="41" s="1"/>
  <c r="AI116" i="41" s="1"/>
  <c r="AJ116" i="41" s="1"/>
  <c r="AK116" i="41" s="1"/>
  <c r="AL116" i="41" s="1"/>
  <c r="AM116" i="41" s="1"/>
  <c r="AN116" i="41" s="1"/>
  <c r="AO116" i="41" s="1"/>
  <c r="AP116" i="41" s="1"/>
  <c r="AQ116" i="41" s="1"/>
  <c r="AR116" i="41" s="1"/>
  <c r="AS116" i="41" s="1"/>
  <c r="AT116" i="41" s="1"/>
  <c r="AU116" i="41" s="1"/>
  <c r="AV116" i="41" s="1"/>
  <c r="AW116" i="41" s="1"/>
  <c r="AX116" i="41" s="1"/>
  <c r="AY116" i="41" s="1"/>
  <c r="AZ116" i="41" s="1"/>
  <c r="BA116" i="41" s="1"/>
  <c r="BB116" i="41" s="1"/>
  <c r="BC116" i="41" s="1"/>
  <c r="BD116" i="41" s="1"/>
  <c r="BE116" i="41" s="1"/>
  <c r="BE103" i="41"/>
  <c r="BD103" i="41"/>
  <c r="BC103" i="41"/>
  <c r="BB103" i="41"/>
  <c r="BA103" i="41"/>
  <c r="AZ103" i="41"/>
  <c r="AY103" i="41"/>
  <c r="AX103" i="41"/>
  <c r="AO103" i="41"/>
  <c r="AN103" i="41"/>
  <c r="AM103" i="41"/>
  <c r="AL103" i="41"/>
  <c r="AK103" i="41"/>
  <c r="AJ103" i="41"/>
  <c r="AI103" i="41"/>
  <c r="AH103" i="41"/>
  <c r="H52" i="112" l="1"/>
  <c r="Y156" i="105"/>
  <c r="X156" i="105"/>
  <c r="W156" i="105"/>
  <c r="V156" i="105"/>
  <c r="U156" i="105"/>
  <c r="T156" i="105"/>
  <c r="S156" i="105"/>
  <c r="R156" i="105"/>
  <c r="Q156" i="105"/>
  <c r="P156" i="105"/>
  <c r="O156" i="105"/>
  <c r="N156" i="105"/>
  <c r="M156" i="105"/>
  <c r="L156" i="105"/>
  <c r="K156" i="105"/>
  <c r="J21" i="23" a="1"/>
  <c r="J21" i="23" s="1"/>
  <c r="J84" i="31" a="1"/>
  <c r="K84" i="31" s="1"/>
  <c r="J46" i="31" a="1"/>
  <c r="P46" i="31" s="1"/>
  <c r="Q98" i="31" l="1"/>
  <c r="O97" i="31"/>
  <c r="S95" i="31"/>
  <c r="O94" i="31"/>
  <c r="K93" i="31"/>
  <c r="O91" i="31"/>
  <c r="M90" i="31"/>
  <c r="S88" i="31"/>
  <c r="M87" i="31"/>
  <c r="S85" i="31"/>
  <c r="S99" i="31"/>
  <c r="O98" i="31"/>
  <c r="S96" i="31"/>
  <c r="O95" i="31"/>
  <c r="M94" i="31"/>
  <c r="Q92" i="31"/>
  <c r="M91" i="31"/>
  <c r="S89" i="31"/>
  <c r="M88" i="31"/>
  <c r="K87" i="31"/>
  <c r="Q85" i="31"/>
  <c r="M36" i="23"/>
  <c r="M35" i="23"/>
  <c r="M34" i="23"/>
  <c r="M33" i="23"/>
  <c r="M32" i="23"/>
  <c r="M31" i="23"/>
  <c r="M30" i="23"/>
  <c r="M29" i="23"/>
  <c r="M28" i="23"/>
  <c r="M27" i="23"/>
  <c r="M26" i="23"/>
  <c r="M25" i="23"/>
  <c r="M24" i="23"/>
  <c r="M23" i="23"/>
  <c r="M22" i="23"/>
  <c r="M21" i="23"/>
  <c r="O99" i="31"/>
  <c r="S97" i="31"/>
  <c r="Q96" i="31"/>
  <c r="M95" i="31"/>
  <c r="Q93" i="31"/>
  <c r="M92" i="31"/>
  <c r="K91" i="31"/>
  <c r="O89" i="31"/>
  <c r="K88" i="31"/>
  <c r="Q86" i="31"/>
  <c r="O84" i="31"/>
  <c r="L36" i="23"/>
  <c r="L35" i="23"/>
  <c r="L34" i="23"/>
  <c r="L33" i="23"/>
  <c r="L32" i="23"/>
  <c r="L31" i="23"/>
  <c r="L30" i="23"/>
  <c r="L29" i="23"/>
  <c r="L28" i="23"/>
  <c r="L27" i="23"/>
  <c r="L26" i="23"/>
  <c r="L25" i="23"/>
  <c r="L24" i="23"/>
  <c r="L23" i="23"/>
  <c r="L22" i="23"/>
  <c r="L21" i="23"/>
  <c r="K99" i="31"/>
  <c r="Q97" i="31"/>
  <c r="M96" i="31"/>
  <c r="Q94" i="31"/>
  <c r="O93" i="31"/>
  <c r="K92" i="31"/>
  <c r="O90" i="31"/>
  <c r="K89" i="31"/>
  <c r="S87" i="31"/>
  <c r="M86"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O61" i="31"/>
  <c r="R60" i="31"/>
  <c r="L60" i="31"/>
  <c r="N59" i="31"/>
  <c r="Q58" i="31"/>
  <c r="J58" i="31"/>
  <c r="L57" i="31"/>
  <c r="P56" i="31"/>
  <c r="S55" i="31"/>
  <c r="K55" i="31"/>
  <c r="N54" i="31"/>
  <c r="R53" i="31"/>
  <c r="J53" i="31"/>
  <c r="M52" i="31"/>
  <c r="P51" i="31"/>
  <c r="R50" i="31"/>
  <c r="L50" i="31"/>
  <c r="O49" i="31"/>
  <c r="Q48" i="31"/>
  <c r="J48" i="31"/>
  <c r="N47" i="31"/>
  <c r="K46" i="31"/>
  <c r="L46" i="31"/>
  <c r="Q46" i="31"/>
  <c r="L47" i="31"/>
  <c r="R47" i="31"/>
  <c r="M48" i="31"/>
  <c r="R48" i="31"/>
  <c r="N49" i="31"/>
  <c r="S49" i="31"/>
  <c r="N50" i="31"/>
  <c r="J51" i="31"/>
  <c r="O51" i="31"/>
  <c r="J52" i="31"/>
  <c r="P52" i="31"/>
  <c r="K53" i="31"/>
  <c r="P53" i="31"/>
  <c r="L54" i="31"/>
  <c r="Q54" i="31"/>
  <c r="L55" i="31"/>
  <c r="R55" i="31"/>
  <c r="M56" i="31"/>
  <c r="R56" i="31"/>
  <c r="N57" i="31"/>
  <c r="S57" i="31"/>
  <c r="N58" i="31"/>
  <c r="J59" i="31"/>
  <c r="O59" i="31"/>
  <c r="J60" i="31"/>
  <c r="P60" i="31"/>
  <c r="K61" i="31"/>
  <c r="P61" i="31"/>
  <c r="N61" i="31"/>
  <c r="Q60" i="31"/>
  <c r="S59" i="31"/>
  <c r="L59" i="31"/>
  <c r="P58" i="31"/>
  <c r="R57" i="31"/>
  <c r="K57" i="31"/>
  <c r="N56" i="31"/>
  <c r="P55" i="31"/>
  <c r="J55" i="31"/>
  <c r="M54" i="31"/>
  <c r="O53" i="31"/>
  <c r="R52" i="31"/>
  <c r="L52" i="31"/>
  <c r="N51" i="31"/>
  <c r="Q50" i="31"/>
  <c r="J50" i="31"/>
  <c r="L49" i="31"/>
  <c r="P48" i="31"/>
  <c r="S47" i="31"/>
  <c r="K47" i="31"/>
  <c r="N46" i="31"/>
  <c r="S61" i="31"/>
  <c r="L61" i="31"/>
  <c r="N60" i="31"/>
  <c r="R59" i="31"/>
  <c r="K59" i="31"/>
  <c r="M58" i="31"/>
  <c r="P57" i="31"/>
  <c r="J57" i="31"/>
  <c r="L56" i="31"/>
  <c r="O55" i="31"/>
  <c r="R54" i="31"/>
  <c r="J54" i="31"/>
  <c r="N53" i="31"/>
  <c r="Q52" i="31"/>
  <c r="S51" i="31"/>
  <c r="L51" i="31"/>
  <c r="P50" i="31"/>
  <c r="R49" i="31"/>
  <c r="K49" i="31"/>
  <c r="N48" i="31"/>
  <c r="P47" i="31"/>
  <c r="J47" i="31"/>
  <c r="M46" i="31"/>
  <c r="L84" i="31"/>
  <c r="S84" i="31"/>
  <c r="K86" i="31"/>
  <c r="S86" i="31"/>
  <c r="Q87" i="31"/>
  <c r="O88" i="31"/>
  <c r="M89" i="31"/>
  <c r="K90" i="31"/>
  <c r="S90" i="31"/>
  <c r="Q91" i="31"/>
  <c r="O92" i="31"/>
  <c r="M93" i="31"/>
  <c r="K94" i="31"/>
  <c r="S94" i="31"/>
  <c r="Q95" i="31"/>
  <c r="O96" i="31"/>
  <c r="M97" i="31"/>
  <c r="K98" i="31"/>
  <c r="S98" i="31"/>
  <c r="Q99" i="31"/>
  <c r="R61" i="31"/>
  <c r="J61" i="31"/>
  <c r="M60" i="31"/>
  <c r="P59" i="31"/>
  <c r="R58" i="31"/>
  <c r="L58" i="31"/>
  <c r="O57" i="31"/>
  <c r="Q56" i="31"/>
  <c r="J56" i="31"/>
  <c r="N55" i="31"/>
  <c r="P54" i="31"/>
  <c r="S53" i="31"/>
  <c r="L53" i="31"/>
  <c r="N52" i="31"/>
  <c r="R51" i="31"/>
  <c r="K51" i="31"/>
  <c r="M50" i="31"/>
  <c r="P49" i="31"/>
  <c r="J49" i="31"/>
  <c r="L48" i="31"/>
  <c r="O47" i="31"/>
  <c r="R46" i="31"/>
  <c r="J46" i="31"/>
  <c r="J65" i="31" s="1"/>
  <c r="M99" i="31"/>
  <c r="M98" i="31"/>
  <c r="K97" i="31"/>
  <c r="K96" i="31"/>
  <c r="K95" i="31"/>
  <c r="S93" i="31"/>
  <c r="S92" i="31"/>
  <c r="S91" i="31"/>
  <c r="Q90" i="31"/>
  <c r="Q89" i="31"/>
  <c r="Q88" i="31"/>
  <c r="O87" i="31"/>
  <c r="O86" i="31"/>
  <c r="M85"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J84" i="31"/>
  <c r="O85" i="31"/>
  <c r="K85" i="31"/>
  <c r="Q84" i="31"/>
  <c r="M84"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Y149" i="105"/>
  <c r="X149" i="105"/>
  <c r="W149" i="105"/>
  <c r="V149" i="105"/>
  <c r="U149" i="105"/>
  <c r="T149" i="105"/>
  <c r="S149" i="105"/>
  <c r="R149" i="105"/>
  <c r="Q149" i="105"/>
  <c r="P149" i="105"/>
  <c r="O149" i="105"/>
  <c r="N149" i="105"/>
  <c r="M149" i="105"/>
  <c r="L149" i="105"/>
  <c r="K149" i="105"/>
  <c r="J149" i="105"/>
  <c r="Y148" i="105"/>
  <c r="X148" i="105"/>
  <c r="W148" i="105"/>
  <c r="V148" i="105"/>
  <c r="U148" i="105"/>
  <c r="T148" i="105"/>
  <c r="S148" i="105"/>
  <c r="R148" i="105"/>
  <c r="Q148" i="105"/>
  <c r="P148" i="105"/>
  <c r="O148" i="105"/>
  <c r="N148" i="105"/>
  <c r="M148" i="105"/>
  <c r="L148" i="105"/>
  <c r="K148" i="105"/>
  <c r="J148" i="105"/>
  <c r="Y147" i="105"/>
  <c r="X147" i="105"/>
  <c r="W147" i="105"/>
  <c r="V147" i="105"/>
  <c r="U147" i="105"/>
  <c r="T147" i="105"/>
  <c r="S147" i="105"/>
  <c r="R147" i="105"/>
  <c r="Q147" i="105"/>
  <c r="P147" i="105"/>
  <c r="O147" i="105"/>
  <c r="N147" i="105"/>
  <c r="M147" i="105"/>
  <c r="L147" i="105"/>
  <c r="K147" i="105"/>
  <c r="J147" i="105"/>
  <c r="Y146" i="105"/>
  <c r="X146" i="105"/>
  <c r="W146" i="105"/>
  <c r="V146" i="105"/>
  <c r="U146" i="105"/>
  <c r="T146" i="105"/>
  <c r="S146" i="105"/>
  <c r="R146" i="105"/>
  <c r="Q146" i="105"/>
  <c r="P146" i="105"/>
  <c r="O146" i="105"/>
  <c r="N146" i="105"/>
  <c r="M146" i="105"/>
  <c r="L146" i="105"/>
  <c r="K146" i="105"/>
  <c r="J146" i="105"/>
  <c r="Y145" i="105"/>
  <c r="X145" i="105"/>
  <c r="W145" i="105"/>
  <c r="V145" i="105"/>
  <c r="U145" i="105"/>
  <c r="T145" i="105"/>
  <c r="S145" i="105"/>
  <c r="R145" i="105"/>
  <c r="Q145" i="105"/>
  <c r="P145" i="105"/>
  <c r="O145" i="105"/>
  <c r="N145" i="105"/>
  <c r="M145" i="105"/>
  <c r="L145" i="105"/>
  <c r="K145" i="105"/>
  <c r="J145" i="105"/>
  <c r="Y144" i="105"/>
  <c r="X144" i="105"/>
  <c r="W144" i="105"/>
  <c r="V144" i="105"/>
  <c r="U144" i="105"/>
  <c r="T144" i="105"/>
  <c r="S144" i="105"/>
  <c r="R144" i="105"/>
  <c r="Q144" i="105"/>
  <c r="P144" i="105"/>
  <c r="O144" i="105"/>
  <c r="N144" i="105"/>
  <c r="M144" i="105"/>
  <c r="L144" i="105"/>
  <c r="K144" i="105"/>
  <c r="J144" i="105"/>
  <c r="Y143" i="105"/>
  <c r="X143" i="105"/>
  <c r="W143" i="105"/>
  <c r="V143" i="105"/>
  <c r="U143" i="105"/>
  <c r="T143" i="105"/>
  <c r="S143" i="105"/>
  <c r="R143" i="105"/>
  <c r="Q143" i="105"/>
  <c r="P143" i="105"/>
  <c r="O143" i="105"/>
  <c r="N143" i="105"/>
  <c r="M143" i="105"/>
  <c r="L143" i="105"/>
  <c r="K143" i="105"/>
  <c r="J143" i="105"/>
  <c r="Y69" i="105"/>
  <c r="W69" i="105"/>
  <c r="U69" i="105"/>
  <c r="Y68" i="105"/>
  <c r="W68" i="105"/>
  <c r="U68" i="105"/>
  <c r="Y67" i="105"/>
  <c r="W67" i="105"/>
  <c r="U67" i="105"/>
  <c r="Y66" i="105"/>
  <c r="W66" i="105"/>
  <c r="U66" i="105"/>
  <c r="Y65" i="105"/>
  <c r="W65" i="105"/>
  <c r="U65" i="105"/>
  <c r="Y64" i="105"/>
  <c r="W64" i="105"/>
  <c r="U64" i="105"/>
  <c r="Y63" i="105"/>
  <c r="W63" i="105"/>
  <c r="U63" i="105"/>
  <c r="Y60" i="105"/>
  <c r="X60" i="105"/>
  <c r="W60" i="105"/>
  <c r="V60" i="105"/>
  <c r="U60" i="105"/>
  <c r="S60" i="105"/>
  <c r="P60" i="105"/>
  <c r="O60" i="105"/>
  <c r="Y59" i="105"/>
  <c r="X59" i="105"/>
  <c r="W59" i="105"/>
  <c r="V59" i="105"/>
  <c r="U59" i="105"/>
  <c r="S59" i="105"/>
  <c r="P59" i="105"/>
  <c r="O59" i="105"/>
  <c r="Y58" i="105"/>
  <c r="X58" i="105"/>
  <c r="W58" i="105"/>
  <c r="V58" i="105"/>
  <c r="U58" i="105"/>
  <c r="S58" i="105"/>
  <c r="P58" i="105"/>
  <c r="O58" i="105"/>
  <c r="Y57" i="105"/>
  <c r="X57" i="105"/>
  <c r="W57" i="105"/>
  <c r="V57" i="105"/>
  <c r="U57" i="105"/>
  <c r="S57" i="105"/>
  <c r="P57" i="105"/>
  <c r="O57" i="105"/>
  <c r="Y56" i="105"/>
  <c r="X56" i="105"/>
  <c r="W56" i="105"/>
  <c r="V56" i="105"/>
  <c r="U56" i="105"/>
  <c r="S56" i="105"/>
  <c r="P56" i="105"/>
  <c r="O56" i="105"/>
  <c r="Y55" i="105"/>
  <c r="X55" i="105"/>
  <c r="W55" i="105"/>
  <c r="V55" i="105"/>
  <c r="U55" i="105"/>
  <c r="S55" i="105"/>
  <c r="P55" i="105"/>
  <c r="O55" i="105"/>
  <c r="Y54" i="105"/>
  <c r="X54" i="105"/>
  <c r="W54" i="105"/>
  <c r="V54" i="105"/>
  <c r="U54" i="105"/>
  <c r="S54" i="105"/>
  <c r="P54" i="105"/>
  <c r="O54" i="105"/>
  <c r="Y40" i="105"/>
  <c r="X40" i="105"/>
  <c r="W40" i="105"/>
  <c r="V40" i="105"/>
  <c r="U40" i="105"/>
  <c r="T40" i="105"/>
  <c r="S40" i="105"/>
  <c r="R40" i="105"/>
  <c r="Q40" i="105"/>
  <c r="P40" i="105"/>
  <c r="O40" i="105"/>
  <c r="N40" i="105"/>
  <c r="M40" i="105"/>
  <c r="L40" i="105"/>
  <c r="K40" i="105"/>
  <c r="J40" i="105"/>
  <c r="Y39" i="105"/>
  <c r="X39" i="105"/>
  <c r="W39" i="105"/>
  <c r="V39" i="105"/>
  <c r="U39" i="105"/>
  <c r="T39" i="105"/>
  <c r="S39" i="105"/>
  <c r="R39" i="105"/>
  <c r="Q39" i="105"/>
  <c r="P39" i="105"/>
  <c r="O39" i="105"/>
  <c r="N39" i="105"/>
  <c r="M39" i="105"/>
  <c r="L39" i="105"/>
  <c r="K39" i="105"/>
  <c r="J39" i="105"/>
  <c r="Y38" i="105"/>
  <c r="X38" i="105"/>
  <c r="W38" i="105"/>
  <c r="V38" i="105"/>
  <c r="U38" i="105"/>
  <c r="T38" i="105"/>
  <c r="S38" i="105"/>
  <c r="R38" i="105"/>
  <c r="Q38" i="105"/>
  <c r="P38" i="105"/>
  <c r="O38" i="105"/>
  <c r="N38" i="105"/>
  <c r="M38" i="105"/>
  <c r="L38" i="105"/>
  <c r="K38" i="105"/>
  <c r="J38" i="105"/>
  <c r="Y37" i="105"/>
  <c r="X37" i="105"/>
  <c r="W37" i="105"/>
  <c r="V37" i="105"/>
  <c r="U37" i="105"/>
  <c r="T37" i="105"/>
  <c r="S37" i="105"/>
  <c r="R37" i="105"/>
  <c r="Q37" i="105"/>
  <c r="P37" i="105"/>
  <c r="O37" i="105"/>
  <c r="N37" i="105"/>
  <c r="M37" i="105"/>
  <c r="L37" i="105"/>
  <c r="K37" i="105"/>
  <c r="J37" i="105"/>
  <c r="Y36" i="105"/>
  <c r="X36" i="105"/>
  <c r="W36" i="105"/>
  <c r="V36" i="105"/>
  <c r="U36" i="105"/>
  <c r="T36" i="105"/>
  <c r="S36" i="105"/>
  <c r="R36" i="105"/>
  <c r="Q36" i="105"/>
  <c r="P36" i="105"/>
  <c r="O36" i="105"/>
  <c r="N36" i="105"/>
  <c r="M36" i="105"/>
  <c r="L36" i="105"/>
  <c r="K36" i="105"/>
  <c r="J36" i="105"/>
  <c r="Y35" i="105"/>
  <c r="X35" i="105"/>
  <c r="W35" i="105"/>
  <c r="V35" i="105"/>
  <c r="U35" i="105"/>
  <c r="T35" i="105"/>
  <c r="S35" i="105"/>
  <c r="R35" i="105"/>
  <c r="Q35" i="105"/>
  <c r="P35" i="105"/>
  <c r="O35" i="105"/>
  <c r="N35" i="105"/>
  <c r="M35" i="105"/>
  <c r="L35" i="105"/>
  <c r="K35" i="105"/>
  <c r="J35" i="105"/>
  <c r="Y34" i="105"/>
  <c r="X34" i="105"/>
  <c r="W34" i="105"/>
  <c r="V34" i="105"/>
  <c r="U34" i="105"/>
  <c r="T34" i="105"/>
  <c r="S34" i="105"/>
  <c r="R34" i="105"/>
  <c r="Q34" i="105"/>
  <c r="P34" i="105"/>
  <c r="O34" i="105"/>
  <c r="N34" i="105"/>
  <c r="M34" i="105"/>
  <c r="L34" i="105"/>
  <c r="K34" i="105"/>
  <c r="J34" i="105"/>
  <c r="Y31" i="105"/>
  <c r="X31" i="105"/>
  <c r="W31" i="105"/>
  <c r="V31" i="105"/>
  <c r="U31" i="105"/>
  <c r="T31" i="105"/>
  <c r="S31" i="105"/>
  <c r="R31" i="105"/>
  <c r="Q31" i="105"/>
  <c r="P31" i="105"/>
  <c r="O31" i="105"/>
  <c r="N31" i="105"/>
  <c r="M31" i="105"/>
  <c r="L31" i="105"/>
  <c r="K31" i="105"/>
  <c r="J31" i="105"/>
  <c r="Y30" i="105"/>
  <c r="X30" i="105"/>
  <c r="W30" i="105"/>
  <c r="V30" i="105"/>
  <c r="U30" i="105"/>
  <c r="T30" i="105"/>
  <c r="S30" i="105"/>
  <c r="R30" i="105"/>
  <c r="Q30" i="105"/>
  <c r="P30" i="105"/>
  <c r="O30" i="105"/>
  <c r="N30" i="105"/>
  <c r="M30" i="105"/>
  <c r="L30" i="105"/>
  <c r="K30" i="105"/>
  <c r="J30" i="105"/>
  <c r="Y29" i="105"/>
  <c r="X29" i="105"/>
  <c r="W29" i="105"/>
  <c r="V29" i="105"/>
  <c r="U29" i="105"/>
  <c r="T29" i="105"/>
  <c r="S29" i="105"/>
  <c r="R29" i="105"/>
  <c r="Q29" i="105"/>
  <c r="P29" i="105"/>
  <c r="O29" i="105"/>
  <c r="N29" i="105"/>
  <c r="M29" i="105"/>
  <c r="L29" i="105"/>
  <c r="K29" i="105"/>
  <c r="J29" i="105"/>
  <c r="Y28" i="105"/>
  <c r="X28" i="105"/>
  <c r="W28" i="105"/>
  <c r="V28" i="105"/>
  <c r="U28" i="105"/>
  <c r="T28" i="105"/>
  <c r="S28" i="105"/>
  <c r="R28" i="105"/>
  <c r="Q28" i="105"/>
  <c r="P28" i="105"/>
  <c r="O28" i="105"/>
  <c r="N28" i="105"/>
  <c r="M28" i="105"/>
  <c r="L28" i="105"/>
  <c r="K28" i="105"/>
  <c r="J28" i="105"/>
  <c r="Y27" i="105"/>
  <c r="X27" i="105"/>
  <c r="W27" i="105"/>
  <c r="V27" i="105"/>
  <c r="U27" i="105"/>
  <c r="T27" i="105"/>
  <c r="S27" i="105"/>
  <c r="R27" i="105"/>
  <c r="Q27" i="105"/>
  <c r="P27" i="105"/>
  <c r="O27" i="105"/>
  <c r="N27" i="105"/>
  <c r="M27" i="105"/>
  <c r="L27" i="105"/>
  <c r="K27" i="105"/>
  <c r="J27" i="105"/>
  <c r="Y26" i="105"/>
  <c r="X26" i="105"/>
  <c r="W26" i="105"/>
  <c r="V26" i="105"/>
  <c r="U26" i="105"/>
  <c r="T26" i="105"/>
  <c r="S26" i="105"/>
  <c r="R26" i="105"/>
  <c r="Q26" i="105"/>
  <c r="P26" i="105"/>
  <c r="O26" i="105"/>
  <c r="N26" i="105"/>
  <c r="M26" i="105"/>
  <c r="L26" i="105"/>
  <c r="K26" i="105"/>
  <c r="J26" i="105"/>
  <c r="Y25" i="105"/>
  <c r="X25" i="105"/>
  <c r="W25" i="105"/>
  <c r="V25" i="105"/>
  <c r="U25" i="105"/>
  <c r="T25" i="105"/>
  <c r="S25" i="105"/>
  <c r="R25" i="105"/>
  <c r="Q25" i="105"/>
  <c r="P25" i="105"/>
  <c r="O25" i="105"/>
  <c r="N25" i="105"/>
  <c r="M25" i="105"/>
  <c r="L25" i="105"/>
  <c r="K25" i="105"/>
  <c r="J25" i="105"/>
  <c r="Y22" i="105"/>
  <c r="X22" i="105"/>
  <c r="W22" i="105"/>
  <c r="V22" i="105"/>
  <c r="U22" i="105"/>
  <c r="T22" i="105"/>
  <c r="S22" i="105"/>
  <c r="R22" i="105"/>
  <c r="Q22" i="105"/>
  <c r="P22" i="105"/>
  <c r="O22" i="105"/>
  <c r="N22" i="105"/>
  <c r="M22" i="105"/>
  <c r="L22" i="105"/>
  <c r="K22" i="105"/>
  <c r="J22" i="105"/>
  <c r="Y21" i="105"/>
  <c r="X21" i="105"/>
  <c r="W21" i="105"/>
  <c r="V21" i="105"/>
  <c r="U21" i="105"/>
  <c r="T21" i="105"/>
  <c r="S21" i="105"/>
  <c r="R21" i="105"/>
  <c r="Q21" i="105"/>
  <c r="P21" i="105"/>
  <c r="O21" i="105"/>
  <c r="N21" i="105"/>
  <c r="M21" i="105"/>
  <c r="L21" i="105"/>
  <c r="K21" i="105"/>
  <c r="J21" i="105"/>
  <c r="Y20" i="105"/>
  <c r="X20" i="105"/>
  <c r="W20" i="105"/>
  <c r="V20" i="105"/>
  <c r="U20" i="105"/>
  <c r="T20" i="105"/>
  <c r="S20" i="105"/>
  <c r="R20" i="105"/>
  <c r="Q20" i="105"/>
  <c r="P20" i="105"/>
  <c r="O20" i="105"/>
  <c r="N20" i="105"/>
  <c r="M20" i="105"/>
  <c r="L20" i="105"/>
  <c r="K20" i="105"/>
  <c r="J20" i="105"/>
  <c r="Y19" i="105"/>
  <c r="X19" i="105"/>
  <c r="W19" i="105"/>
  <c r="V19" i="105"/>
  <c r="U19" i="105"/>
  <c r="T19" i="105"/>
  <c r="S19" i="105"/>
  <c r="R19" i="105"/>
  <c r="Q19" i="105"/>
  <c r="P19" i="105"/>
  <c r="O19" i="105"/>
  <c r="N19" i="105"/>
  <c r="M19" i="105"/>
  <c r="L19" i="105"/>
  <c r="K19" i="105"/>
  <c r="J19" i="105"/>
  <c r="Y18" i="105"/>
  <c r="X18" i="105"/>
  <c r="W18" i="105"/>
  <c r="V18" i="105"/>
  <c r="U18" i="105"/>
  <c r="T18" i="105"/>
  <c r="S18" i="105"/>
  <c r="R18" i="105"/>
  <c r="Q18" i="105"/>
  <c r="P18" i="105"/>
  <c r="O18" i="105"/>
  <c r="N18" i="105"/>
  <c r="M18" i="105"/>
  <c r="L18" i="105"/>
  <c r="K18" i="105"/>
  <c r="J18" i="105"/>
  <c r="Y17" i="105"/>
  <c r="X17" i="105"/>
  <c r="W17" i="105"/>
  <c r="V17" i="105"/>
  <c r="U17" i="105"/>
  <c r="T17" i="105"/>
  <c r="S17" i="105"/>
  <c r="R17" i="105"/>
  <c r="Q17" i="105"/>
  <c r="P17" i="105"/>
  <c r="O17" i="105"/>
  <c r="N17" i="105"/>
  <c r="M17" i="105"/>
  <c r="L17" i="105"/>
  <c r="K17" i="105"/>
  <c r="J17" i="105"/>
  <c r="Y16" i="105"/>
  <c r="X16" i="105"/>
  <c r="W16" i="105"/>
  <c r="V16" i="105"/>
  <c r="U16" i="105"/>
  <c r="T16" i="105"/>
  <c r="S16" i="105"/>
  <c r="R16" i="105"/>
  <c r="Q16" i="105"/>
  <c r="P16" i="105"/>
  <c r="O16" i="105"/>
  <c r="N16" i="105"/>
  <c r="M16" i="105"/>
  <c r="L16" i="105"/>
  <c r="K16" i="105"/>
  <c r="J16" i="105"/>
  <c r="Y34" i="65"/>
  <c r="X34" i="65"/>
  <c r="W34" i="65"/>
  <c r="V34" i="65"/>
  <c r="U34" i="65"/>
  <c r="T34" i="65"/>
  <c r="S34" i="65"/>
  <c r="R34" i="65"/>
  <c r="Y33" i="65"/>
  <c r="X33" i="65"/>
  <c r="W33" i="65"/>
  <c r="V33" i="65"/>
  <c r="U33" i="65"/>
  <c r="T33" i="65"/>
  <c r="S33" i="65"/>
  <c r="R33" i="65"/>
  <c r="Y32" i="65"/>
  <c r="X32" i="65"/>
  <c r="W32" i="65"/>
  <c r="V32" i="65"/>
  <c r="U32" i="65"/>
  <c r="T32" i="65"/>
  <c r="S32" i="65"/>
  <c r="R32" i="65"/>
  <c r="Y25" i="41"/>
  <c r="X25" i="41"/>
  <c r="W25" i="41"/>
  <c r="V25" i="41"/>
  <c r="U25" i="41"/>
  <c r="T25" i="41"/>
  <c r="S25" i="41"/>
  <c r="R25" i="41"/>
  <c r="Y24" i="41"/>
  <c r="X24" i="41"/>
  <c r="W24" i="41"/>
  <c r="V24" i="41"/>
  <c r="U24" i="41"/>
  <c r="T24" i="41"/>
  <c r="S24" i="41"/>
  <c r="R24" i="4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P85" i="53" s="1"/>
  <c r="O63" i="53"/>
  <c r="O85" i="53" s="1"/>
  <c r="N63" i="53"/>
  <c r="N85" i="53" s="1"/>
  <c r="M63" i="53"/>
  <c r="L63" i="53"/>
  <c r="K63" i="53"/>
  <c r="J63" i="53"/>
  <c r="Y62" i="53"/>
  <c r="Y83" i="53" s="1"/>
  <c r="X62" i="53"/>
  <c r="X83" i="53" s="1"/>
  <c r="W62" i="53"/>
  <c r="W83" i="53" s="1"/>
  <c r="V62" i="53"/>
  <c r="V83" i="53" s="1"/>
  <c r="U62" i="53"/>
  <c r="U83" i="53" s="1"/>
  <c r="T62" i="53"/>
  <c r="T83" i="53" s="1"/>
  <c r="T91" i="53" s="1"/>
  <c r="S62" i="53"/>
  <c r="S83" i="53" s="1"/>
  <c r="R62" i="53"/>
  <c r="R83" i="53" s="1"/>
  <c r="Q62" i="53"/>
  <c r="Q83" i="53" s="1"/>
  <c r="P62" i="53"/>
  <c r="P83" i="53" s="1"/>
  <c r="O62" i="53"/>
  <c r="O83" i="53" s="1"/>
  <c r="N62" i="53"/>
  <c r="N83" i="53" s="1"/>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131" i="22"/>
  <c r="X131" i="22"/>
  <c r="W131" i="22"/>
  <c r="V131" i="22"/>
  <c r="U131" i="22"/>
  <c r="T131" i="22"/>
  <c r="S131" i="22"/>
  <c r="R131" i="22"/>
  <c r="Q131" i="22"/>
  <c r="P131" i="22"/>
  <c r="O131" i="22"/>
  <c r="N131" i="22"/>
  <c r="M131" i="22"/>
  <c r="L131" i="22"/>
  <c r="K131" i="22"/>
  <c r="J131" i="22"/>
  <c r="Y130" i="22"/>
  <c r="X130" i="22"/>
  <c r="W130" i="22"/>
  <c r="V130" i="22"/>
  <c r="U130" i="22"/>
  <c r="T130" i="22"/>
  <c r="S130" i="22"/>
  <c r="R130" i="22"/>
  <c r="Q130" i="22"/>
  <c r="P130" i="22"/>
  <c r="O130" i="22"/>
  <c r="N130" i="22"/>
  <c r="M130" i="22"/>
  <c r="L130" i="22"/>
  <c r="K130" i="22"/>
  <c r="J130" i="22"/>
  <c r="Y129" i="22"/>
  <c r="X129" i="22"/>
  <c r="W129" i="22"/>
  <c r="V129" i="22"/>
  <c r="U129" i="22"/>
  <c r="T129" i="22"/>
  <c r="S129" i="22"/>
  <c r="R129" i="22"/>
  <c r="Q129" i="22"/>
  <c r="P129" i="22"/>
  <c r="O129" i="22"/>
  <c r="N129" i="22"/>
  <c r="M129" i="22"/>
  <c r="L129" i="22"/>
  <c r="K129" i="22"/>
  <c r="J129" i="22"/>
  <c r="Y120" i="22"/>
  <c r="X120" i="22"/>
  <c r="W120" i="22"/>
  <c r="V120" i="22"/>
  <c r="U120" i="22"/>
  <c r="T120" i="22"/>
  <c r="S120" i="22"/>
  <c r="R120" i="22"/>
  <c r="Q120" i="22"/>
  <c r="P120" i="22"/>
  <c r="O120" i="22"/>
  <c r="N120" i="22"/>
  <c r="M120" i="22"/>
  <c r="L120" i="22"/>
  <c r="K120" i="22"/>
  <c r="J120" i="22"/>
  <c r="Y119" i="22"/>
  <c r="X119" i="22"/>
  <c r="W119" i="22"/>
  <c r="V119" i="22"/>
  <c r="U119" i="22"/>
  <c r="T119" i="22"/>
  <c r="S119" i="22"/>
  <c r="R119" i="22"/>
  <c r="Q119" i="22"/>
  <c r="P119" i="22"/>
  <c r="O119" i="22"/>
  <c r="N119" i="22"/>
  <c r="M119" i="22"/>
  <c r="L119" i="22"/>
  <c r="K119" i="22"/>
  <c r="J119" i="22"/>
  <c r="Y118" i="22"/>
  <c r="X118" i="22"/>
  <c r="W118" i="22"/>
  <c r="V118" i="22"/>
  <c r="U118" i="22"/>
  <c r="T118" i="22"/>
  <c r="S118" i="22"/>
  <c r="R118" i="22"/>
  <c r="Q118" i="22"/>
  <c r="P118" i="22"/>
  <c r="O118" i="22"/>
  <c r="N118" i="22"/>
  <c r="M118" i="22"/>
  <c r="L118" i="22"/>
  <c r="K118" i="22"/>
  <c r="J118" i="22"/>
  <c r="Y109" i="22"/>
  <c r="X109" i="22"/>
  <c r="W109" i="22"/>
  <c r="V109" i="22"/>
  <c r="U109" i="22"/>
  <c r="T109" i="22"/>
  <c r="S109" i="22"/>
  <c r="R109" i="22"/>
  <c r="Q109" i="22"/>
  <c r="P109" i="22"/>
  <c r="O109" i="22"/>
  <c r="N109" i="22"/>
  <c r="M109" i="22"/>
  <c r="L109" i="22"/>
  <c r="K109" i="22"/>
  <c r="J109" i="22"/>
  <c r="Y108" i="22"/>
  <c r="X108" i="22"/>
  <c r="W108" i="22"/>
  <c r="V108" i="22"/>
  <c r="U108" i="22"/>
  <c r="T108" i="22"/>
  <c r="S108" i="22"/>
  <c r="R108" i="22"/>
  <c r="Q108" i="22"/>
  <c r="P108" i="22"/>
  <c r="O108" i="22"/>
  <c r="N108" i="22"/>
  <c r="M108" i="22"/>
  <c r="L108" i="22"/>
  <c r="K108" i="22"/>
  <c r="J108" i="22"/>
  <c r="Y107" i="22"/>
  <c r="X107" i="22"/>
  <c r="W107" i="22"/>
  <c r="V107" i="22"/>
  <c r="U107" i="22"/>
  <c r="T107" i="22"/>
  <c r="S107" i="22"/>
  <c r="R107" i="22"/>
  <c r="Q107" i="22"/>
  <c r="P107" i="22"/>
  <c r="O107" i="22"/>
  <c r="N107" i="22"/>
  <c r="M107" i="22"/>
  <c r="L107" i="22"/>
  <c r="K107" i="22"/>
  <c r="J107" i="22"/>
  <c r="Y98" i="22"/>
  <c r="X98" i="22"/>
  <c r="W98" i="22"/>
  <c r="V98" i="22"/>
  <c r="U98" i="22"/>
  <c r="T98" i="22"/>
  <c r="S98" i="22"/>
  <c r="R98" i="22"/>
  <c r="Q98" i="22"/>
  <c r="P98" i="22"/>
  <c r="O98" i="22"/>
  <c r="N98" i="22"/>
  <c r="M98" i="22"/>
  <c r="L98" i="22"/>
  <c r="K98" i="22"/>
  <c r="J98" i="22"/>
  <c r="Y97" i="22"/>
  <c r="X97" i="22"/>
  <c r="W97" i="22"/>
  <c r="V97" i="22"/>
  <c r="U97" i="22"/>
  <c r="T97" i="22"/>
  <c r="S97" i="22"/>
  <c r="R97" i="22"/>
  <c r="Q97" i="22"/>
  <c r="P97" i="22"/>
  <c r="O97" i="22"/>
  <c r="N97" i="22"/>
  <c r="M97" i="22"/>
  <c r="L97" i="22"/>
  <c r="K97" i="22"/>
  <c r="J97" i="22"/>
  <c r="Y96" i="22"/>
  <c r="X96" i="22"/>
  <c r="W96" i="22"/>
  <c r="V96" i="22"/>
  <c r="U96" i="22"/>
  <c r="T96" i="22"/>
  <c r="S96" i="22"/>
  <c r="R96" i="22"/>
  <c r="Q96" i="22"/>
  <c r="P96" i="22"/>
  <c r="O96" i="22"/>
  <c r="N96" i="22"/>
  <c r="M96" i="22"/>
  <c r="L96" i="22"/>
  <c r="K96" i="22"/>
  <c r="J96" i="22"/>
  <c r="Y83" i="22"/>
  <c r="X83" i="22"/>
  <c r="W83" i="22"/>
  <c r="V83" i="22"/>
  <c r="U83" i="22"/>
  <c r="T83" i="22"/>
  <c r="S83" i="22"/>
  <c r="R83" i="22"/>
  <c r="Q83" i="22"/>
  <c r="P83" i="22"/>
  <c r="O83" i="22"/>
  <c r="N83" i="22"/>
  <c r="M83" i="22"/>
  <c r="L83" i="22"/>
  <c r="K83" i="22"/>
  <c r="J83" i="22"/>
  <c r="Y82" i="22"/>
  <c r="X82" i="22"/>
  <c r="W82" i="22"/>
  <c r="V82" i="22"/>
  <c r="U82" i="22"/>
  <c r="T82" i="22"/>
  <c r="S82" i="22"/>
  <c r="R82" i="22"/>
  <c r="Q82" i="22"/>
  <c r="P82" i="22"/>
  <c r="O82" i="22"/>
  <c r="N82" i="22"/>
  <c r="M82" i="22"/>
  <c r="L82" i="22"/>
  <c r="K82" i="22"/>
  <c r="J82" i="22"/>
  <c r="Y81" i="22"/>
  <c r="X81" i="22"/>
  <c r="W81" i="22"/>
  <c r="V81" i="22"/>
  <c r="U81" i="22"/>
  <c r="T81" i="22"/>
  <c r="S81" i="22"/>
  <c r="R81" i="22"/>
  <c r="Q81" i="22"/>
  <c r="P81" i="22"/>
  <c r="O81" i="22"/>
  <c r="N81" i="22"/>
  <c r="M81" i="22"/>
  <c r="L81" i="22"/>
  <c r="K81" i="22"/>
  <c r="J81" i="22"/>
  <c r="Y72" i="22"/>
  <c r="X72" i="22"/>
  <c r="W72" i="22"/>
  <c r="V72" i="22"/>
  <c r="U72" i="22"/>
  <c r="T72" i="22"/>
  <c r="S72" i="22"/>
  <c r="R72" i="22"/>
  <c r="Q72" i="22"/>
  <c r="P72" i="22"/>
  <c r="O72" i="22"/>
  <c r="N72" i="22"/>
  <c r="M72" i="22"/>
  <c r="L72" i="22"/>
  <c r="K72" i="22"/>
  <c r="J72" i="22"/>
  <c r="Y71" i="22"/>
  <c r="X71" i="22"/>
  <c r="W71" i="22"/>
  <c r="V71" i="22"/>
  <c r="U71" i="22"/>
  <c r="T71" i="22"/>
  <c r="S71" i="22"/>
  <c r="R71" i="22"/>
  <c r="Q71" i="22"/>
  <c r="P71" i="22"/>
  <c r="O71" i="22"/>
  <c r="N71" i="22"/>
  <c r="M71" i="22"/>
  <c r="L71" i="22"/>
  <c r="K71" i="22"/>
  <c r="J71" i="22"/>
  <c r="Y70" i="22"/>
  <c r="X70" i="22"/>
  <c r="W70" i="22"/>
  <c r="V70" i="22"/>
  <c r="U70" i="22"/>
  <c r="T70" i="22"/>
  <c r="S70" i="22"/>
  <c r="R70" i="22"/>
  <c r="Q70" i="22"/>
  <c r="P70" i="22"/>
  <c r="O70" i="22"/>
  <c r="N70" i="22"/>
  <c r="M70" i="22"/>
  <c r="L70" i="22"/>
  <c r="K70" i="22"/>
  <c r="J70" i="22"/>
  <c r="Y61" i="22"/>
  <c r="X61" i="22"/>
  <c r="W61" i="22"/>
  <c r="V61" i="22"/>
  <c r="U61" i="22"/>
  <c r="T61" i="22"/>
  <c r="S61" i="22"/>
  <c r="R61" i="22"/>
  <c r="Q61" i="22"/>
  <c r="P61" i="22"/>
  <c r="O61" i="22"/>
  <c r="N61" i="22"/>
  <c r="M61" i="22"/>
  <c r="L61" i="22"/>
  <c r="K61" i="22"/>
  <c r="J61" i="22"/>
  <c r="Y60" i="22"/>
  <c r="X60" i="22"/>
  <c r="W60" i="22"/>
  <c r="V60" i="22"/>
  <c r="U60" i="22"/>
  <c r="T60" i="22"/>
  <c r="S60" i="22"/>
  <c r="R60" i="22"/>
  <c r="Q60" i="22"/>
  <c r="P60" i="22"/>
  <c r="O60" i="22"/>
  <c r="N60" i="22"/>
  <c r="M60" i="22"/>
  <c r="L60" i="22"/>
  <c r="K60" i="22"/>
  <c r="J60" i="22"/>
  <c r="Y59" i="22"/>
  <c r="X59" i="22"/>
  <c r="W59" i="22"/>
  <c r="V59" i="22"/>
  <c r="U59" i="22"/>
  <c r="T59" i="22"/>
  <c r="S59" i="22"/>
  <c r="R59" i="22"/>
  <c r="Q59" i="22"/>
  <c r="P59" i="22"/>
  <c r="O59" i="22"/>
  <c r="N59" i="22"/>
  <c r="M59" i="22"/>
  <c r="L59" i="22"/>
  <c r="K59" i="22"/>
  <c r="J59" i="22"/>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O91" i="53"/>
  <c r="P91" i="53"/>
  <c r="W91" i="53"/>
  <c r="X91" i="53"/>
  <c r="Q91" i="53"/>
  <c r="N91" i="53"/>
  <c r="R91" i="53"/>
  <c r="Y91" i="53"/>
  <c r="U91" i="53"/>
  <c r="V91" i="53"/>
  <c r="M89" i="53"/>
  <c r="M267" i="53" s="1"/>
  <c r="U89" i="53"/>
  <c r="U267" i="53" s="1"/>
  <c r="J89" i="53"/>
  <c r="J267" i="53" s="1"/>
  <c r="N89" i="53"/>
  <c r="N267" i="53" s="1"/>
  <c r="R89" i="53"/>
  <c r="R267" i="53" s="1"/>
  <c r="V89" i="53"/>
  <c r="V267" i="53" s="1"/>
  <c r="Q89" i="53"/>
  <c r="Q267" i="53" s="1"/>
  <c r="Y89" i="53"/>
  <c r="Y267" i="53" s="1"/>
  <c r="K89" i="53"/>
  <c r="K267" i="53" s="1"/>
  <c r="O89" i="53"/>
  <c r="O267" i="53" s="1"/>
  <c r="S89" i="53"/>
  <c r="S267" i="53" s="1"/>
  <c r="W89" i="53"/>
  <c r="W267" i="53" s="1"/>
  <c r="L89" i="53"/>
  <c r="L267" i="53" s="1"/>
  <c r="P89" i="53"/>
  <c r="P267" i="53" s="1"/>
  <c r="T89" i="53"/>
  <c r="T267" i="53" s="1"/>
  <c r="X89" i="53"/>
  <c r="X267" i="53" s="1"/>
  <c r="S24" i="65"/>
  <c r="S94" i="65" s="1"/>
  <c r="W24" i="65"/>
  <c r="W94" i="65" s="1"/>
  <c r="W105" i="65" s="1"/>
  <c r="S25" i="65"/>
  <c r="S95" i="65" s="1"/>
  <c r="W25" i="65"/>
  <c r="W95" i="65" s="1"/>
  <c r="W106" i="65" s="1"/>
  <c r="T24" i="65"/>
  <c r="T94" i="65" s="1"/>
  <c r="X24" i="65"/>
  <c r="X94" i="65" s="1"/>
  <c r="T25" i="65"/>
  <c r="T95" i="65" s="1"/>
  <c r="X25" i="65"/>
  <c r="X95" i="65" s="1"/>
  <c r="U24" i="65"/>
  <c r="U94" i="65" s="1"/>
  <c r="U105" i="65" s="1"/>
  <c r="Y24" i="65"/>
  <c r="Y94" i="65" s="1"/>
  <c r="Y105" i="65" s="1"/>
  <c r="U25" i="65"/>
  <c r="U95" i="65" s="1"/>
  <c r="U106" i="65" s="1"/>
  <c r="Y25" i="65"/>
  <c r="Y95" i="65" s="1"/>
  <c r="Y106" i="65" s="1"/>
  <c r="R24" i="65"/>
  <c r="R94" i="65" s="1"/>
  <c r="V24" i="65"/>
  <c r="V94" i="65" s="1"/>
  <c r="R25" i="65"/>
  <c r="R95" i="65" s="1"/>
  <c r="V25" i="65"/>
  <c r="V95" i="65" s="1"/>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85" i="22"/>
  <c r="U84" i="22"/>
  <c r="U74" i="22"/>
  <c r="U65" i="65" s="1"/>
  <c r="U73" i="22"/>
  <c r="U56" i="65" s="1"/>
  <c r="Y85" i="22"/>
  <c r="Y84" i="22"/>
  <c r="Y57" i="65" s="1"/>
  <c r="Y74" i="22"/>
  <c r="Y73" i="22"/>
  <c r="Y56" i="65" s="1"/>
  <c r="U100" i="22"/>
  <c r="U99" i="22"/>
  <c r="U58" i="65" s="1"/>
  <c r="Y100" i="22"/>
  <c r="Y99" i="22"/>
  <c r="Y58" i="65" s="1"/>
  <c r="U111" i="22"/>
  <c r="U110" i="22"/>
  <c r="U59" i="65" s="1"/>
  <c r="Y111" i="22"/>
  <c r="Y110" i="22"/>
  <c r="U122" i="22"/>
  <c r="U121" i="22"/>
  <c r="Y121" i="22"/>
  <c r="Y60" i="65" s="1"/>
  <c r="Y122" i="22"/>
  <c r="Y69" i="65" s="1"/>
  <c r="U133" i="22"/>
  <c r="U132" i="22"/>
  <c r="U61" i="65" s="1"/>
  <c r="Y133" i="22"/>
  <c r="Y70" i="65" s="1"/>
  <c r="Y132" i="22"/>
  <c r="Y61" i="65" s="1"/>
  <c r="U62" i="22"/>
  <c r="Y62" i="22"/>
  <c r="U63" i="22"/>
  <c r="Y63" i="22"/>
  <c r="R85" i="22"/>
  <c r="R66" i="65" s="1"/>
  <c r="R84" i="22"/>
  <c r="R57" i="65" s="1"/>
  <c r="R74" i="22"/>
  <c r="R65" i="65" s="1"/>
  <c r="R73" i="22"/>
  <c r="R56" i="65" s="1"/>
  <c r="V74" i="22"/>
  <c r="V73" i="22"/>
  <c r="V85" i="22"/>
  <c r="V66" i="65" s="1"/>
  <c r="V84" i="22"/>
  <c r="V57" i="65" s="1"/>
  <c r="R100" i="22"/>
  <c r="R99" i="22"/>
  <c r="R58" i="65" s="1"/>
  <c r="V100" i="22"/>
  <c r="V99" i="22"/>
  <c r="V58" i="65" s="1"/>
  <c r="R111" i="22"/>
  <c r="R110" i="22"/>
  <c r="R59" i="65" s="1"/>
  <c r="V111" i="22"/>
  <c r="V68" i="65" s="1"/>
  <c r="V110" i="22"/>
  <c r="V59" i="65" s="1"/>
  <c r="R122" i="22"/>
  <c r="R121" i="22"/>
  <c r="V122" i="22"/>
  <c r="V69" i="65" s="1"/>
  <c r="V121" i="22"/>
  <c r="V60" i="65" s="1"/>
  <c r="R133" i="22"/>
  <c r="R132" i="22"/>
  <c r="V133" i="22"/>
  <c r="V70" i="65" s="1"/>
  <c r="V132" i="22"/>
  <c r="V61" i="65" s="1"/>
  <c r="R62" i="22"/>
  <c r="V62" i="22"/>
  <c r="R63" i="22"/>
  <c r="V63" i="22"/>
  <c r="S85" i="22"/>
  <c r="S84" i="22"/>
  <c r="S57" i="65" s="1"/>
  <c r="S74" i="22"/>
  <c r="S65" i="65" s="1"/>
  <c r="S73" i="22"/>
  <c r="S56" i="65" s="1"/>
  <c r="W85" i="22"/>
  <c r="W66" i="65" s="1"/>
  <c r="W84" i="22"/>
  <c r="W57" i="65" s="1"/>
  <c r="W74" i="22"/>
  <c r="W65" i="65" s="1"/>
  <c r="W73" i="22"/>
  <c r="W56" i="65" s="1"/>
  <c r="S100" i="22"/>
  <c r="S67" i="65" s="1"/>
  <c r="S99" i="22"/>
  <c r="S58" i="65" s="1"/>
  <c r="W100" i="22"/>
  <c r="W67" i="65" s="1"/>
  <c r="W99" i="22"/>
  <c r="W58" i="65" s="1"/>
  <c r="S111" i="22"/>
  <c r="S110" i="22"/>
  <c r="S59" i="65" s="1"/>
  <c r="W111" i="22"/>
  <c r="W68" i="65" s="1"/>
  <c r="W110" i="22"/>
  <c r="W59" i="65" s="1"/>
  <c r="S121" i="22"/>
  <c r="S122" i="22"/>
  <c r="S69" i="65" s="1"/>
  <c r="W122" i="22"/>
  <c r="W121" i="22"/>
  <c r="W60" i="65" s="1"/>
  <c r="S133" i="22"/>
  <c r="S132" i="22"/>
  <c r="W133" i="22"/>
  <c r="W70" i="65" s="1"/>
  <c r="W132" i="22"/>
  <c r="W61" i="65" s="1"/>
  <c r="S62" i="22"/>
  <c r="W62" i="22"/>
  <c r="S63" i="22"/>
  <c r="W63" i="22"/>
  <c r="T85" i="22"/>
  <c r="T84" i="22"/>
  <c r="T74" i="22"/>
  <c r="T73" i="22"/>
  <c r="X85" i="22"/>
  <c r="X66" i="65" s="1"/>
  <c r="X84" i="22"/>
  <c r="X74" i="22"/>
  <c r="X73" i="22"/>
  <c r="T100" i="22"/>
  <c r="T99" i="22"/>
  <c r="X100" i="22"/>
  <c r="X67" i="65" s="1"/>
  <c r="X99" i="22"/>
  <c r="X58" i="65" s="1"/>
  <c r="T111" i="22"/>
  <c r="T110" i="22"/>
  <c r="X111" i="22"/>
  <c r="X68" i="65" s="1"/>
  <c r="X110" i="22"/>
  <c r="X59" i="65" s="1"/>
  <c r="T122" i="22"/>
  <c r="T69" i="65" s="1"/>
  <c r="T121" i="22"/>
  <c r="X122" i="22"/>
  <c r="X69" i="65" s="1"/>
  <c r="X121" i="22"/>
  <c r="T133" i="22"/>
  <c r="T132" i="22"/>
  <c r="X133" i="22"/>
  <c r="X70" i="65" s="1"/>
  <c r="X132" i="22"/>
  <c r="X61" i="65" s="1"/>
  <c r="T62" i="22"/>
  <c r="X62" i="22"/>
  <c r="T63" i="22"/>
  <c r="X63" i="22"/>
  <c r="R105" i="65" l="1"/>
  <c r="R36" i="82"/>
  <c r="T105" i="65"/>
  <c r="T36" i="82"/>
  <c r="X105" i="65"/>
  <c r="V36" i="82"/>
  <c r="S106" i="65"/>
  <c r="S37" i="82"/>
  <c r="T106" i="65"/>
  <c r="T37" i="82"/>
  <c r="R106" i="65"/>
  <c r="R37" i="82"/>
  <c r="S105" i="65"/>
  <c r="S36" i="82"/>
  <c r="V105" i="65"/>
  <c r="U36" i="82"/>
  <c r="V106" i="65"/>
  <c r="U37" i="82"/>
  <c r="X106" i="65"/>
  <c r="V37" i="82"/>
  <c r="V113" i="22"/>
  <c r="X101" i="22"/>
  <c r="W75" i="22"/>
  <c r="V135" i="22"/>
  <c r="X113" i="22"/>
  <c r="W113" i="22"/>
  <c r="W135" i="22"/>
  <c r="X124" i="22"/>
  <c r="R87" i="22"/>
  <c r="U134" i="22"/>
  <c r="R101" i="22"/>
  <c r="X134" i="22"/>
  <c r="Y86" i="22"/>
  <c r="R86" i="22"/>
  <c r="R112" i="22"/>
  <c r="X87" i="22"/>
  <c r="U112" i="22"/>
  <c r="W134" i="22"/>
  <c r="Y134" i="22"/>
  <c r="W101" i="22"/>
  <c r="S75" i="22"/>
  <c r="V87" i="22"/>
  <c r="S124" i="22"/>
  <c r="W123" i="22"/>
  <c r="W112" i="22"/>
  <c r="U101" i="22"/>
  <c r="W76" i="22"/>
  <c r="R76" i="22"/>
  <c r="Y124" i="22"/>
  <c r="V112" i="22"/>
  <c r="R75" i="22"/>
  <c r="X135" i="22"/>
  <c r="V134" i="22"/>
  <c r="Y123" i="22"/>
  <c r="V101" i="22"/>
  <c r="S102" i="22"/>
  <c r="V86" i="22"/>
  <c r="Y75" i="22"/>
  <c r="X102" i="22"/>
  <c r="V123" i="22"/>
  <c r="V124" i="22"/>
  <c r="Y101" i="22"/>
  <c r="S86" i="22"/>
  <c r="U75" i="22"/>
  <c r="V67" i="65"/>
  <c r="V102" i="22"/>
  <c r="Y65" i="65"/>
  <c r="Y76" i="22"/>
  <c r="T67" i="65"/>
  <c r="T102" i="22"/>
  <c r="T68" i="65"/>
  <c r="T113" i="22"/>
  <c r="W69" i="65"/>
  <c r="W124" i="22"/>
  <c r="R60" i="65"/>
  <c r="R123" i="22"/>
  <c r="U57" i="65"/>
  <c r="U86" i="22"/>
  <c r="U76" i="22"/>
  <c r="Y67" i="65"/>
  <c r="Y102" i="22"/>
  <c r="Y135" i="22"/>
  <c r="T124" i="22"/>
  <c r="S112" i="22"/>
  <c r="W102" i="22"/>
  <c r="S101" i="22"/>
  <c r="W86" i="22"/>
  <c r="T70" i="65"/>
  <c r="T135" i="22"/>
  <c r="T66" i="65"/>
  <c r="T87" i="22"/>
  <c r="S61" i="65"/>
  <c r="S134" i="22"/>
  <c r="R61" i="65"/>
  <c r="R134" i="22"/>
  <c r="V56" i="65"/>
  <c r="V75" i="22"/>
  <c r="U60" i="65"/>
  <c r="U123" i="22"/>
  <c r="W87" i="22"/>
  <c r="T61" i="65"/>
  <c r="T134" i="22"/>
  <c r="T59" i="65"/>
  <c r="T112" i="22"/>
  <c r="T58" i="65"/>
  <c r="T101" i="22"/>
  <c r="X57" i="65"/>
  <c r="X86" i="22"/>
  <c r="T57" i="65"/>
  <c r="T86" i="22"/>
  <c r="T123" i="22"/>
  <c r="T60" i="65"/>
  <c r="S70" i="65"/>
  <c r="S135" i="22"/>
  <c r="S123" i="22"/>
  <c r="S60" i="65"/>
  <c r="S68" i="65"/>
  <c r="S113" i="22"/>
  <c r="S66" i="65"/>
  <c r="S87" i="22"/>
  <c r="R70" i="65"/>
  <c r="R135" i="22"/>
  <c r="R69" i="65"/>
  <c r="R124" i="22"/>
  <c r="R113" i="22"/>
  <c r="R68" i="65"/>
  <c r="R67" i="65"/>
  <c r="R102" i="22"/>
  <c r="V65" i="65"/>
  <c r="V76" i="22"/>
  <c r="U65" i="22"/>
  <c r="U64" i="65"/>
  <c r="U64" i="22"/>
  <c r="U55" i="65"/>
  <c r="U70" i="65"/>
  <c r="U135" i="22"/>
  <c r="U69" i="65"/>
  <c r="U124" i="22"/>
  <c r="U68" i="65"/>
  <c r="U113" i="22"/>
  <c r="U67" i="65"/>
  <c r="U102" i="22"/>
  <c r="Y66" i="65"/>
  <c r="Y87" i="22"/>
  <c r="U66" i="65"/>
  <c r="U87" i="22"/>
  <c r="T65" i="22"/>
  <c r="T64" i="65"/>
  <c r="T64" i="22"/>
  <c r="T55" i="65"/>
  <c r="Y65" i="22"/>
  <c r="Y64" i="65"/>
  <c r="Y64" i="22"/>
  <c r="Y55" i="65"/>
  <c r="Y112" i="22"/>
  <c r="Y59" i="65"/>
  <c r="P98" i="73"/>
  <c r="P85" i="72"/>
  <c r="P116" i="71"/>
  <c r="P27" i="80"/>
  <c r="M99" i="73"/>
  <c r="M86" i="72"/>
  <c r="M117" i="71"/>
  <c r="M28" i="80"/>
  <c r="O99" i="73"/>
  <c r="O86" i="72"/>
  <c r="O117" i="71"/>
  <c r="O28" i="80"/>
  <c r="K98" i="73"/>
  <c r="K85" i="72"/>
  <c r="K116" i="71"/>
  <c r="K27" i="80"/>
  <c r="X65" i="22"/>
  <c r="X64" i="65"/>
  <c r="X64" i="22"/>
  <c r="X55" i="65"/>
  <c r="X123" i="22"/>
  <c r="X60" i="65"/>
  <c r="X75" i="22"/>
  <c r="X56" i="65"/>
  <c r="T75" i="22"/>
  <c r="T56" i="65"/>
  <c r="S65" i="22"/>
  <c r="S64" i="65"/>
  <c r="S64" i="22"/>
  <c r="S55" i="65"/>
  <c r="R65" i="22"/>
  <c r="R64" i="65"/>
  <c r="R64" i="22"/>
  <c r="R55" i="65"/>
  <c r="Y113" i="22"/>
  <c r="Y68" i="65"/>
  <c r="N86" i="72"/>
  <c r="N117" i="71"/>
  <c r="N99" i="73"/>
  <c r="N28" i="80"/>
  <c r="J98" i="73"/>
  <c r="J85" i="72"/>
  <c r="J116" i="71"/>
  <c r="J27" i="80"/>
  <c r="X112" i="22"/>
  <c r="X114" i="22" s="1"/>
  <c r="S76" i="22"/>
  <c r="X76" i="22"/>
  <c r="X65" i="65"/>
  <c r="T76" i="22"/>
  <c r="T65" i="65"/>
  <c r="W65" i="22"/>
  <c r="W64" i="65"/>
  <c r="W64" i="22"/>
  <c r="W55" i="65"/>
  <c r="V65" i="22"/>
  <c r="V64" i="65"/>
  <c r="V64" i="22"/>
  <c r="V55" i="65"/>
  <c r="L86" i="72"/>
  <c r="L117" i="71"/>
  <c r="L99" i="73"/>
  <c r="L28" i="80"/>
  <c r="Q98" i="73"/>
  <c r="Q85" i="72"/>
  <c r="Q116" i="71"/>
  <c r="Q27" i="80"/>
  <c r="W77" i="22" l="1"/>
  <c r="W57" i="80" s="1"/>
  <c r="X103" i="22"/>
  <c r="X16" i="111" s="1"/>
  <c r="V114" i="22"/>
  <c r="V33" i="41" s="1"/>
  <c r="V154" i="41" s="1"/>
  <c r="X136" i="22"/>
  <c r="X35" i="41" s="1"/>
  <c r="X156" i="41" s="1"/>
  <c r="X125" i="22"/>
  <c r="X34" i="41" s="1"/>
  <c r="X155" i="41" s="1"/>
  <c r="V136" i="22"/>
  <c r="V35" i="41" s="1"/>
  <c r="V156" i="41" s="1"/>
  <c r="S114" i="22"/>
  <c r="S33" i="41" s="1"/>
  <c r="S154" i="41" s="1"/>
  <c r="R88" i="22"/>
  <c r="R33" i="53" s="1"/>
  <c r="V103" i="22"/>
  <c r="V32" i="41" s="1"/>
  <c r="V153" i="41" s="1"/>
  <c r="W136" i="22"/>
  <c r="W35" i="41" s="1"/>
  <c r="W156" i="41" s="1"/>
  <c r="R114" i="22"/>
  <c r="R33" i="41" s="1"/>
  <c r="R154" i="41" s="1"/>
  <c r="U136" i="22"/>
  <c r="U35" i="41" s="1"/>
  <c r="U156" i="41" s="1"/>
  <c r="Y103" i="22"/>
  <c r="Y16" i="111" s="1"/>
  <c r="R103" i="22"/>
  <c r="R32" i="41" s="1"/>
  <c r="R153" i="41" s="1"/>
  <c r="Y136" i="22"/>
  <c r="Y35" i="41" s="1"/>
  <c r="Y156" i="41" s="1"/>
  <c r="R77" i="22"/>
  <c r="R30" i="41" s="1"/>
  <c r="R151" i="41" s="1"/>
  <c r="S125" i="22"/>
  <c r="S34" i="41" s="1"/>
  <c r="S155" i="41" s="1"/>
  <c r="U103" i="22"/>
  <c r="U18" i="74" s="1"/>
  <c r="Y77" i="22"/>
  <c r="Y32" i="53" s="1"/>
  <c r="V88" i="22"/>
  <c r="V58" i="80" s="1"/>
  <c r="W114" i="22"/>
  <c r="W188" i="80" s="1"/>
  <c r="U88" i="22"/>
  <c r="U31" i="41" s="1"/>
  <c r="U152" i="41" s="1"/>
  <c r="Y88" i="22"/>
  <c r="Y31" i="41" s="1"/>
  <c r="Y152" i="41" s="1"/>
  <c r="U114" i="22"/>
  <c r="U33" i="41" s="1"/>
  <c r="U154" i="41" s="1"/>
  <c r="S77" i="22"/>
  <c r="S30" i="41" s="1"/>
  <c r="S151" i="41" s="1"/>
  <c r="X88" i="22"/>
  <c r="X58" i="80" s="1"/>
  <c r="V125" i="22"/>
  <c r="V34" i="41" s="1"/>
  <c r="V155" i="41" s="1"/>
  <c r="Y125" i="22"/>
  <c r="Y189" i="80" s="1"/>
  <c r="W103" i="22"/>
  <c r="W16" i="111" s="1"/>
  <c r="R136" i="22"/>
  <c r="R35" i="41" s="1"/>
  <c r="R156" i="41" s="1"/>
  <c r="T125" i="22"/>
  <c r="T189" i="80" s="1"/>
  <c r="U77" i="22"/>
  <c r="U30" i="41" s="1"/>
  <c r="U151" i="41" s="1"/>
  <c r="S88" i="22"/>
  <c r="S33" i="53" s="1"/>
  <c r="S136" i="22"/>
  <c r="S35" i="41" s="1"/>
  <c r="S156" i="41" s="1"/>
  <c r="V66" i="22"/>
  <c r="V29" i="41" s="1"/>
  <c r="V150" i="41" s="1"/>
  <c r="T88" i="22"/>
  <c r="T31" i="41" s="1"/>
  <c r="T152" i="41" s="1"/>
  <c r="W88" i="22"/>
  <c r="W31" i="41" s="1"/>
  <c r="W152" i="41" s="1"/>
  <c r="W125" i="22"/>
  <c r="R66" i="22"/>
  <c r="R56" i="80" s="1"/>
  <c r="U66" i="22"/>
  <c r="V77" i="22"/>
  <c r="V57" i="80" s="1"/>
  <c r="T103" i="22"/>
  <c r="T18" i="74" s="1"/>
  <c r="S103" i="22"/>
  <c r="S18" i="74" s="1"/>
  <c r="Y66" i="22"/>
  <c r="Y31" i="53" s="1"/>
  <c r="T136" i="22"/>
  <c r="T35" i="41" s="1"/>
  <c r="T156" i="41" s="1"/>
  <c r="U125" i="22"/>
  <c r="U34" i="41" s="1"/>
  <c r="U155" i="41" s="1"/>
  <c r="R125" i="22"/>
  <c r="R34" i="41" s="1"/>
  <c r="R155" i="41" s="1"/>
  <c r="T114" i="22"/>
  <c r="T33" i="41" s="1"/>
  <c r="T154" i="41" s="1"/>
  <c r="W66" i="22"/>
  <c r="W56" i="80" s="1"/>
  <c r="S66" i="22"/>
  <c r="S31" i="53" s="1"/>
  <c r="X77" i="22"/>
  <c r="X57" i="80" s="1"/>
  <c r="X66" i="22"/>
  <c r="X29" i="41" s="1"/>
  <c r="X150" i="41" s="1"/>
  <c r="T66" i="22"/>
  <c r="T29" i="41" s="1"/>
  <c r="T150" i="41" s="1"/>
  <c r="T77" i="22"/>
  <c r="T30" i="41" s="1"/>
  <c r="T151" i="41" s="1"/>
  <c r="Y114" i="22"/>
  <c r="Y188" i="80" s="1"/>
  <c r="Y191" i="80" s="1"/>
  <c r="Y192" i="80" s="1"/>
  <c r="W30" i="41"/>
  <c r="W151" i="41" s="1"/>
  <c r="W32" i="53"/>
  <c r="X33" i="41"/>
  <c r="X154" i="41" s="1"/>
  <c r="X188" i="80"/>
  <c r="X32" i="41"/>
  <c r="X153" i="41" s="1"/>
  <c r="V188" i="80" l="1"/>
  <c r="X189" i="80"/>
  <c r="X18" i="74"/>
  <c r="V31" i="41"/>
  <c r="V152" i="41" s="1"/>
  <c r="R32" i="53"/>
  <c r="S188" i="80"/>
  <c r="Y92" i="22"/>
  <c r="Y17" i="111" s="1"/>
  <c r="U188" i="80"/>
  <c r="R31" i="41"/>
  <c r="R152" i="41" s="1"/>
  <c r="R57" i="80"/>
  <c r="R58" i="80"/>
  <c r="V18" i="74"/>
  <c r="Y32" i="41"/>
  <c r="Y153" i="41" s="1"/>
  <c r="Y18" i="74"/>
  <c r="V16" i="111"/>
  <c r="V28" i="111" s="1"/>
  <c r="V34" i="111" s="1"/>
  <c r="W33" i="41"/>
  <c r="W154" i="41" s="1"/>
  <c r="Y33" i="53"/>
  <c r="Y34" i="53" s="1"/>
  <c r="R188" i="80"/>
  <c r="Y30" i="41"/>
  <c r="Y151" i="41" s="1"/>
  <c r="Y58" i="80"/>
  <c r="T34" i="41"/>
  <c r="T155" i="41" s="1"/>
  <c r="R29" i="41"/>
  <c r="R150" i="41" s="1"/>
  <c r="R16" i="111"/>
  <c r="R28" i="111" s="1"/>
  <c r="R34" i="111" s="1"/>
  <c r="U33" i="53"/>
  <c r="X31" i="41"/>
  <c r="X152" i="41" s="1"/>
  <c r="S16" i="111"/>
  <c r="S28" i="111" s="1"/>
  <c r="S34" i="111" s="1"/>
  <c r="R18" i="74"/>
  <c r="R92" i="22"/>
  <c r="R17" i="111" s="1"/>
  <c r="S32" i="53"/>
  <c r="S34" i="53" s="1"/>
  <c r="R189" i="80"/>
  <c r="S189" i="80"/>
  <c r="U16" i="111"/>
  <c r="U27" i="111" s="1"/>
  <c r="U33" i="111" s="1"/>
  <c r="R31" i="53"/>
  <c r="U58" i="80"/>
  <c r="U32" i="41"/>
  <c r="U153" i="41" s="1"/>
  <c r="S57" i="80"/>
  <c r="W18" i="74"/>
  <c r="Y57" i="80"/>
  <c r="V33" i="53"/>
  <c r="S32" i="41"/>
  <c r="S153" i="41" s="1"/>
  <c r="S58" i="80"/>
  <c r="V31" i="53"/>
  <c r="V189" i="80"/>
  <c r="V191" i="80" s="1"/>
  <c r="V192" i="80" s="1"/>
  <c r="Y34" i="41"/>
  <c r="Y155" i="41" s="1"/>
  <c r="S31" i="41"/>
  <c r="S152" i="41" s="1"/>
  <c r="W33" i="53"/>
  <c r="T16" i="111"/>
  <c r="T27" i="111" s="1"/>
  <c r="T33" i="111" s="1"/>
  <c r="W58" i="80"/>
  <c r="W59" i="80" s="1"/>
  <c r="X33" i="53"/>
  <c r="T31" i="53"/>
  <c r="S92" i="22"/>
  <c r="S17" i="111" s="1"/>
  <c r="T58" i="80"/>
  <c r="U92" i="22"/>
  <c r="U17" i="111" s="1"/>
  <c r="U32" i="53"/>
  <c r="T33" i="53"/>
  <c r="U57" i="80"/>
  <c r="W32" i="41"/>
  <c r="W153" i="41" s="1"/>
  <c r="U56" i="80"/>
  <c r="V56" i="80"/>
  <c r="V59" i="80" s="1"/>
  <c r="Y33" i="41"/>
  <c r="Y154" i="41" s="1"/>
  <c r="U29" i="41"/>
  <c r="U150" i="41" s="1"/>
  <c r="S56" i="80"/>
  <c r="X32" i="53"/>
  <c r="U31" i="53"/>
  <c r="X30" i="41"/>
  <c r="X151" i="41" s="1"/>
  <c r="V92" i="22"/>
  <c r="V17" i="111" s="1"/>
  <c r="W34" i="41"/>
  <c r="W155" i="41" s="1"/>
  <c r="W189" i="80"/>
  <c r="W191" i="80" s="1"/>
  <c r="W192" i="80" s="1"/>
  <c r="T32" i="41"/>
  <c r="T153" i="41" s="1"/>
  <c r="T56" i="80"/>
  <c r="V32" i="53"/>
  <c r="U189" i="80"/>
  <c r="V30" i="41"/>
  <c r="V151" i="41" s="1"/>
  <c r="S29" i="41"/>
  <c r="S150" i="41" s="1"/>
  <c r="Y56" i="80"/>
  <c r="Y29" i="41"/>
  <c r="Y150" i="41" s="1"/>
  <c r="X31" i="53"/>
  <c r="X92" i="22"/>
  <c r="X17" i="111" s="1"/>
  <c r="W29" i="41"/>
  <c r="W150" i="41" s="1"/>
  <c r="T188" i="80"/>
  <c r="T191" i="80" s="1"/>
  <c r="T192" i="80" s="1"/>
  <c r="T32" i="53"/>
  <c r="T92" i="22"/>
  <c r="T17" i="111" s="1"/>
  <c r="T57" i="80"/>
  <c r="W31" i="53"/>
  <c r="X56" i="80"/>
  <c r="X59" i="80" s="1"/>
  <c r="W92" i="22"/>
  <c r="W17" i="111" s="1"/>
  <c r="W27" i="111"/>
  <c r="W33" i="111" s="1"/>
  <c r="W28" i="111"/>
  <c r="W34" i="111" s="1"/>
  <c r="Y27" i="111"/>
  <c r="Y33" i="111" s="1"/>
  <c r="Y28" i="111"/>
  <c r="Y34" i="111" s="1"/>
  <c r="X28" i="111"/>
  <c r="X34" i="111" s="1"/>
  <c r="X27" i="111"/>
  <c r="X33" i="111" s="1"/>
  <c r="X191" i="80"/>
  <c r="X192" i="80" s="1"/>
  <c r="U191" i="80" l="1"/>
  <c r="U192" i="80" s="1"/>
  <c r="S191" i="80"/>
  <c r="S192" i="80" s="1"/>
  <c r="R59" i="80"/>
  <c r="R34" i="53"/>
  <c r="R48" i="53" s="1"/>
  <c r="R191" i="80"/>
  <c r="R192" i="80" s="1"/>
  <c r="V27" i="111"/>
  <c r="V33" i="111" s="1"/>
  <c r="S27" i="111"/>
  <c r="S33" i="111" s="1"/>
  <c r="R27" i="111"/>
  <c r="R33" i="111" s="1"/>
  <c r="V34" i="53"/>
  <c r="V48" i="53" s="1"/>
  <c r="Y59" i="80"/>
  <c r="U28" i="111"/>
  <c r="U34" i="111" s="1"/>
  <c r="R50" i="53"/>
  <c r="Y50" i="53"/>
  <c r="Y49" i="53"/>
  <c r="Y48" i="53"/>
  <c r="S50" i="53"/>
  <c r="S49" i="53"/>
  <c r="S48" i="53"/>
  <c r="T28" i="111"/>
  <c r="T34" i="111" s="1"/>
  <c r="S59" i="80"/>
  <c r="U59" i="80"/>
  <c r="W34" i="53"/>
  <c r="U34" i="53"/>
  <c r="T59" i="80"/>
  <c r="T34" i="53"/>
  <c r="X34" i="53"/>
  <c r="R49" i="53" l="1"/>
  <c r="V49" i="53"/>
  <c r="V50" i="53"/>
  <c r="W50" i="53"/>
  <c r="W49" i="53"/>
  <c r="W48" i="53"/>
  <c r="X48" i="53"/>
  <c r="X50" i="53"/>
  <c r="X49" i="53"/>
  <c r="T48" i="53"/>
  <c r="T50" i="53"/>
  <c r="T49" i="53"/>
  <c r="U50" i="53"/>
  <c r="U49" i="53"/>
  <c r="U48" i="53"/>
  <c r="Y170" i="90"/>
  <c r="X170" i="90"/>
  <c r="Y169" i="90"/>
  <c r="X169" i="90"/>
  <c r="Y168" i="90"/>
  <c r="X168" i="90"/>
  <c r="Y167" i="90"/>
  <c r="X167" i="90"/>
  <c r="Y166" i="90"/>
  <c r="X166" i="90"/>
  <c r="Y225" i="53"/>
  <c r="X293" i="73"/>
  <c r="Y293" i="73"/>
  <c r="Y93" i="74"/>
  <c r="X93" i="74"/>
  <c r="Y91" i="74"/>
  <c r="X90" i="74"/>
  <c r="Y89" i="74"/>
  <c r="Y87" i="74"/>
  <c r="X87" i="74"/>
  <c r="X86" i="74"/>
  <c r="Y85" i="74"/>
  <c r="Y79" i="74"/>
  <c r="Y77" i="74"/>
  <c r="X77" i="74"/>
  <c r="Y75" i="74"/>
  <c r="X75" i="74"/>
  <c r="X74" i="74"/>
  <c r="Y73" i="74"/>
  <c r="X84" i="74"/>
  <c r="X72" i="74"/>
  <c r="Y103" i="41"/>
  <c r="X103" i="41"/>
  <c r="Y186" i="105"/>
  <c r="Y183" i="105"/>
  <c r="Y181" i="105"/>
  <c r="Y175" i="105"/>
  <c r="X175" i="105"/>
  <c r="X173" i="105"/>
  <c r="Y172" i="105"/>
  <c r="Y170" i="105"/>
  <c r="Y158" i="105"/>
  <c r="X158" i="105"/>
  <c r="Y130" i="105"/>
  <c r="Y108" i="105"/>
  <c r="X100" i="105"/>
  <c r="X96" i="105"/>
  <c r="Y100" i="105"/>
  <c r="Y98" i="105"/>
  <c r="X98" i="105"/>
  <c r="Y96" i="105"/>
  <c r="Y94" i="105"/>
  <c r="X94" i="105"/>
  <c r="Y110" i="105"/>
  <c r="Y107" i="105"/>
  <c r="Y106" i="105"/>
  <c r="Y105" i="105"/>
  <c r="Y136" i="105"/>
  <c r="Y99" i="105"/>
  <c r="X99" i="105"/>
  <c r="Y95" i="105"/>
  <c r="X95" i="105"/>
  <c r="Y185" i="105"/>
  <c r="W170" i="90"/>
  <c r="V170" i="90"/>
  <c r="W169" i="90"/>
  <c r="V169" i="90"/>
  <c r="W168" i="90"/>
  <c r="V168" i="90"/>
  <c r="W167" i="90"/>
  <c r="V167" i="90"/>
  <c r="W166" i="90"/>
  <c r="V166" i="90"/>
  <c r="V78" i="83"/>
  <c r="V226" i="53"/>
  <c r="W293" i="73"/>
  <c r="V293" i="73"/>
  <c r="V93" i="74"/>
  <c r="V91" i="74"/>
  <c r="V89" i="74"/>
  <c r="V87" i="74"/>
  <c r="V85" i="74"/>
  <c r="V79" i="74"/>
  <c r="V77" i="74"/>
  <c r="V75" i="74"/>
  <c r="V73" i="74"/>
  <c r="W103" i="41"/>
  <c r="V103" i="41"/>
  <c r="W187" i="105"/>
  <c r="W186" i="105"/>
  <c r="W185" i="105"/>
  <c r="W183" i="105"/>
  <c r="W182" i="105"/>
  <c r="W176" i="105"/>
  <c r="W175" i="105"/>
  <c r="W174" i="105"/>
  <c r="W172" i="105"/>
  <c r="V172" i="105"/>
  <c r="W171" i="105"/>
  <c r="W136" i="105"/>
  <c r="W130" i="105"/>
  <c r="V129" i="105"/>
  <c r="W109" i="105"/>
  <c r="W107" i="105"/>
  <c r="W104" i="105"/>
  <c r="W100" i="105"/>
  <c r="V95" i="105"/>
  <c r="V97" i="105"/>
  <c r="W96" i="105"/>
  <c r="W94" i="105"/>
  <c r="W110" i="105"/>
  <c r="W108" i="105"/>
  <c r="W105" i="105"/>
  <c r="V100" i="105"/>
  <c r="W99" i="105"/>
  <c r="V99" i="105"/>
  <c r="W98" i="105"/>
  <c r="V98" i="105"/>
  <c r="W129" i="105"/>
  <c r="V96" i="105"/>
  <c r="W95" i="105"/>
  <c r="W135" i="105"/>
  <c r="W184" i="105"/>
  <c r="U170" i="90"/>
  <c r="T170" i="90"/>
  <c r="U169" i="90"/>
  <c r="T169" i="90"/>
  <c r="U168" i="90"/>
  <c r="T168" i="90"/>
  <c r="U167" i="90"/>
  <c r="T167" i="90"/>
  <c r="U166" i="90"/>
  <c r="T166" i="90"/>
  <c r="T225" i="53"/>
  <c r="U78" i="83"/>
  <c r="T78" i="83"/>
  <c r="U226" i="53"/>
  <c r="U224" i="53"/>
  <c r="T293" i="73"/>
  <c r="U293" i="73"/>
  <c r="U93" i="74"/>
  <c r="T92" i="74"/>
  <c r="U91" i="74"/>
  <c r="U89" i="74"/>
  <c r="T88" i="74"/>
  <c r="U87" i="74"/>
  <c r="U85" i="74"/>
  <c r="T84" i="74"/>
  <c r="U79" i="74"/>
  <c r="U77" i="74"/>
  <c r="T76" i="74"/>
  <c r="U75" i="74"/>
  <c r="U73" i="74"/>
  <c r="T72" i="74"/>
  <c r="U103" i="41"/>
  <c r="T103" i="41"/>
  <c r="U187" i="105"/>
  <c r="U183" i="105"/>
  <c r="U176" i="105"/>
  <c r="U172" i="105"/>
  <c r="T158" i="105"/>
  <c r="U129" i="105"/>
  <c r="U107" i="105"/>
  <c r="U97" i="105"/>
  <c r="U99" i="105"/>
  <c r="U95" i="105"/>
  <c r="U109" i="105"/>
  <c r="U108" i="105"/>
  <c r="U130" i="105"/>
  <c r="U106" i="105"/>
  <c r="U136" i="105"/>
  <c r="U100" i="105"/>
  <c r="U98" i="105"/>
  <c r="U96" i="105"/>
  <c r="S170" i="90"/>
  <c r="R170" i="90"/>
  <c r="S169" i="90"/>
  <c r="R169" i="90"/>
  <c r="S168" i="90"/>
  <c r="R168" i="90"/>
  <c r="S167" i="90"/>
  <c r="R167" i="90"/>
  <c r="S166" i="90"/>
  <c r="R166" i="90"/>
  <c r="R226" i="53"/>
  <c r="S225" i="53"/>
  <c r="S293" i="73"/>
  <c r="R293" i="73"/>
  <c r="S103" i="41"/>
  <c r="R103" i="41"/>
  <c r="S176" i="105"/>
  <c r="S172" i="105"/>
  <c r="R158" i="105"/>
  <c r="S129" i="105"/>
  <c r="Q170" i="90"/>
  <c r="Q169" i="90"/>
  <c r="Q168" i="90"/>
  <c r="Q167" i="90"/>
  <c r="Q166" i="90"/>
  <c r="Q78" i="83"/>
  <c r="Q27" i="76"/>
  <c r="Q157" i="74"/>
  <c r="Q156" i="74"/>
  <c r="K170" i="90"/>
  <c r="J170" i="90"/>
  <c r="K169" i="90"/>
  <c r="J169" i="90"/>
  <c r="K168" i="90"/>
  <c r="J168" i="90"/>
  <c r="K167" i="90"/>
  <c r="J167" i="90"/>
  <c r="K166" i="90"/>
  <c r="J166" i="90"/>
  <c r="K78" i="83"/>
  <c r="J226" i="53"/>
  <c r="K225" i="53"/>
  <c r="K293" i="73"/>
  <c r="J293" i="73"/>
  <c r="J156" i="105"/>
  <c r="M170" i="90"/>
  <c r="L170" i="90"/>
  <c r="M169" i="90"/>
  <c r="L169" i="90"/>
  <c r="M168" i="90"/>
  <c r="L168" i="90"/>
  <c r="M167" i="90"/>
  <c r="L167" i="90"/>
  <c r="M166" i="90"/>
  <c r="L166" i="90"/>
  <c r="L78" i="83"/>
  <c r="L225" i="53"/>
  <c r="M224" i="53"/>
  <c r="L293" i="73"/>
  <c r="P170" i="90"/>
  <c r="O170" i="90"/>
  <c r="N170" i="90"/>
  <c r="P169" i="90"/>
  <c r="O169" i="90"/>
  <c r="N169" i="90"/>
  <c r="P168" i="90"/>
  <c r="O168" i="90"/>
  <c r="N168" i="90"/>
  <c r="P167" i="90"/>
  <c r="O167" i="90"/>
  <c r="N167" i="90"/>
  <c r="P166" i="90"/>
  <c r="O166" i="90"/>
  <c r="N166" i="90"/>
  <c r="N226" i="53"/>
  <c r="N78" i="83"/>
  <c r="O225" i="53"/>
  <c r="O224" i="53"/>
  <c r="N224" i="53"/>
  <c r="N293" i="73"/>
  <c r="P174" i="105"/>
  <c r="O135" i="105"/>
  <c r="S123" i="65" l="1"/>
  <c r="S124" i="65"/>
  <c r="M158" i="105"/>
  <c r="O175" i="105"/>
  <c r="O171" i="105"/>
  <c r="O176" i="105"/>
  <c r="O172" i="105"/>
  <c r="O174" i="105"/>
  <c r="O173" i="105"/>
  <c r="O170" i="105"/>
  <c r="P158" i="105"/>
  <c r="P226" i="53"/>
  <c r="P224" i="53"/>
  <c r="P225" i="53"/>
  <c r="M78" i="83"/>
  <c r="P176" i="105"/>
  <c r="P172" i="105"/>
  <c r="P173" i="105"/>
  <c r="O129" i="105"/>
  <c r="P175" i="105"/>
  <c r="O78" i="83"/>
  <c r="N158" i="105"/>
  <c r="P170" i="105"/>
  <c r="O293" i="73"/>
  <c r="O158" i="105"/>
  <c r="P171" i="105"/>
  <c r="P293" i="73"/>
  <c r="K158" i="105"/>
  <c r="L158" i="105"/>
  <c r="M225" i="53"/>
  <c r="J158" i="105"/>
  <c r="Q293" i="73"/>
  <c r="N225" i="53"/>
  <c r="P78" i="83"/>
  <c r="M226" i="53"/>
  <c r="M293" i="73"/>
  <c r="Q158" i="105"/>
  <c r="Q225" i="53"/>
  <c r="Q224" i="53"/>
  <c r="S158" i="105"/>
  <c r="J78" i="83"/>
  <c r="O226" i="53"/>
  <c r="L224" i="53"/>
  <c r="L226" i="53"/>
  <c r="J225" i="53"/>
  <c r="J224" i="53"/>
  <c r="S175" i="105"/>
  <c r="S173" i="105"/>
  <c r="S171" i="105"/>
  <c r="S135" i="105"/>
  <c r="S170" i="105"/>
  <c r="S174" i="105"/>
  <c r="K224" i="53"/>
  <c r="K226" i="53"/>
  <c r="W93" i="74"/>
  <c r="W91" i="74"/>
  <c r="W89" i="74"/>
  <c r="W87" i="74"/>
  <c r="W85" i="74"/>
  <c r="W79" i="74"/>
  <c r="W77" i="74"/>
  <c r="W75" i="74"/>
  <c r="W73" i="74"/>
  <c r="W90" i="74"/>
  <c r="W86" i="74"/>
  <c r="W78" i="74"/>
  <c r="W74" i="74"/>
  <c r="W76" i="74"/>
  <c r="W84" i="74"/>
  <c r="W88" i="74"/>
  <c r="W72" i="74"/>
  <c r="W92" i="74"/>
  <c r="W158" i="105"/>
  <c r="R225" i="53"/>
  <c r="R224" i="53"/>
  <c r="R78" i="83"/>
  <c r="U104" i="105"/>
  <c r="U110" i="105"/>
  <c r="S224" i="53"/>
  <c r="S226" i="53"/>
  <c r="T93" i="74"/>
  <c r="T91" i="74"/>
  <c r="T89" i="74"/>
  <c r="T87" i="74"/>
  <c r="T85" i="74"/>
  <c r="T79" i="74"/>
  <c r="T77" i="74"/>
  <c r="T75" i="74"/>
  <c r="T73" i="74"/>
  <c r="T74" i="74"/>
  <c r="T78" i="74"/>
  <c r="T86" i="74"/>
  <c r="T90" i="74"/>
  <c r="W226" i="53"/>
  <c r="W224" i="53"/>
  <c r="S78" i="83"/>
  <c r="U186" i="105"/>
  <c r="U184" i="105"/>
  <c r="U182" i="105"/>
  <c r="U175" i="105"/>
  <c r="U173" i="105"/>
  <c r="U171" i="105"/>
  <c r="U135" i="105"/>
  <c r="U94" i="105"/>
  <c r="U101" i="105" s="1"/>
  <c r="U105" i="105"/>
  <c r="U158" i="105"/>
  <c r="U170" i="105"/>
  <c r="U174" i="105"/>
  <c r="U181" i="105"/>
  <c r="U185" i="105"/>
  <c r="U92" i="74"/>
  <c r="W106" i="105"/>
  <c r="W111" i="105" s="1"/>
  <c r="W97" i="105"/>
  <c r="W101" i="105" s="1"/>
  <c r="V175" i="105"/>
  <c r="V173" i="105"/>
  <c r="V171" i="105"/>
  <c r="V174" i="105"/>
  <c r="V176" i="105"/>
  <c r="V135" i="105"/>
  <c r="V94" i="105"/>
  <c r="V101" i="105" s="1"/>
  <c r="V170" i="105"/>
  <c r="U72" i="74"/>
  <c r="U74" i="74"/>
  <c r="U76" i="74"/>
  <c r="U78" i="74"/>
  <c r="U84" i="74"/>
  <c r="U86" i="74"/>
  <c r="U88" i="74"/>
  <c r="U90" i="74"/>
  <c r="W170" i="105"/>
  <c r="W173" i="105"/>
  <c r="W181" i="105"/>
  <c r="W188" i="105" s="1"/>
  <c r="Y104" i="105"/>
  <c r="Y135" i="105"/>
  <c r="V158" i="105"/>
  <c r="V92" i="74"/>
  <c r="Y129" i="105"/>
  <c r="Y97" i="105"/>
  <c r="Y101" i="105" s="1"/>
  <c r="Y109" i="105"/>
  <c r="V72" i="74"/>
  <c r="V74" i="74"/>
  <c r="V76" i="74"/>
  <c r="V78" i="74"/>
  <c r="V84" i="74"/>
  <c r="V86" i="74"/>
  <c r="V88" i="74"/>
  <c r="V90" i="74"/>
  <c r="V224" i="53"/>
  <c r="X129" i="105"/>
  <c r="X97" i="105"/>
  <c r="X101" i="105" s="1"/>
  <c r="X135" i="105"/>
  <c r="X226" i="53"/>
  <c r="X224" i="53"/>
  <c r="X176" i="105"/>
  <c r="X174" i="105"/>
  <c r="X172" i="105"/>
  <c r="X170" i="105"/>
  <c r="X171" i="105"/>
  <c r="Y173" i="105"/>
  <c r="Y176" i="105"/>
  <c r="Y184" i="105"/>
  <c r="Y187" i="105"/>
  <c r="X92" i="74"/>
  <c r="X89" i="74"/>
  <c r="X73" i="74"/>
  <c r="X78" i="74"/>
  <c r="X85" i="74"/>
  <c r="X91" i="74"/>
  <c r="Y171" i="105"/>
  <c r="Y174" i="105"/>
  <c r="Y182" i="105"/>
  <c r="Y92" i="74"/>
  <c r="X76" i="74"/>
  <c r="X79" i="74"/>
  <c r="X88" i="74"/>
  <c r="X78" i="83"/>
  <c r="Y72" i="74"/>
  <c r="Y74" i="74"/>
  <c r="Y76" i="74"/>
  <c r="Y78" i="74"/>
  <c r="Y84" i="74"/>
  <c r="Y86" i="74"/>
  <c r="Y88" i="74"/>
  <c r="Y90" i="74"/>
  <c r="Y224" i="53"/>
  <c r="Y226" i="53"/>
  <c r="V43" i="82" l="1"/>
  <c r="X47" i="65"/>
  <c r="X54" i="112"/>
  <c r="X60" i="112" s="1"/>
  <c r="W177" i="105"/>
  <c r="X177" i="105"/>
  <c r="Y188" i="105"/>
  <c r="S177" i="105"/>
  <c r="X225" i="53"/>
  <c r="T224" i="53"/>
  <c r="Y78" i="83"/>
  <c r="V225" i="53"/>
  <c r="U225" i="53"/>
  <c r="Y177" i="105"/>
  <c r="Y111" i="105"/>
  <c r="U188" i="105"/>
  <c r="W78" i="83"/>
  <c r="T226" i="53"/>
  <c r="Q226" i="53"/>
  <c r="V177" i="105"/>
  <c r="U177" i="105"/>
  <c r="W225" i="53"/>
  <c r="U111" i="105"/>
  <c r="P177" i="105"/>
  <c r="O177" i="105"/>
  <c r="Y47" i="65" l="1"/>
  <c r="Y54" i="112"/>
  <c r="Y60" i="112" s="1"/>
  <c r="C13" i="106"/>
  <c r="G208" i="85" s="1"/>
  <c r="U129" i="81"/>
  <c r="T129" i="81"/>
  <c r="B12" i="27"/>
  <c r="H15" i="55"/>
  <c r="D14" i="27" s="1"/>
  <c r="H13" i="55"/>
  <c r="D12" i="27" s="1"/>
  <c r="A2" i="111"/>
  <c r="A1" i="111"/>
  <c r="C14" i="111" s="1"/>
  <c r="G132" i="85" s="1"/>
  <c r="A2" i="106"/>
  <c r="A2" i="105"/>
  <c r="H11" i="55"/>
  <c r="D10" i="27" s="1"/>
  <c r="H9" i="55"/>
  <c r="D8" i="27" s="1"/>
  <c r="H7" i="55"/>
  <c r="D6" i="27" s="1"/>
  <c r="A1" i="106"/>
  <c r="A1" i="105"/>
  <c r="C42" i="105" s="1"/>
  <c r="G198" i="85" s="1"/>
  <c r="H81" i="65"/>
  <c r="H80" i="65"/>
  <c r="H79" i="65"/>
  <c r="H78" i="65"/>
  <c r="H77" i="65"/>
  <c r="H76" i="65"/>
  <c r="H75" i="65"/>
  <c r="H93" i="89"/>
  <c r="H49" i="86"/>
  <c r="H22" i="72" a="1"/>
  <c r="H23" i="72" s="1"/>
  <c r="L54" i="86"/>
  <c r="M54" i="86"/>
  <c r="P54" i="86"/>
  <c r="H79" i="89"/>
  <c r="H44" i="89"/>
  <c r="H45" i="89" s="1"/>
  <c r="H86" i="89"/>
  <c r="H69" i="89"/>
  <c r="S70" i="31"/>
  <c r="S72" i="31"/>
  <c r="K66" i="31"/>
  <c r="R80" i="31"/>
  <c r="K70" i="31"/>
  <c r="S66" i="31"/>
  <c r="Q70" i="31"/>
  <c r="S73" i="31"/>
  <c r="Q76" i="31"/>
  <c r="Q80" i="31"/>
  <c r="A2" i="90"/>
  <c r="A1" i="90"/>
  <c r="C155" i="90" s="1"/>
  <c r="G85" i="85" s="1"/>
  <c r="H113" i="53"/>
  <c r="H116" i="53" s="1"/>
  <c r="H169" i="53"/>
  <c r="H172" i="53" s="1"/>
  <c r="H129" i="53"/>
  <c r="P44" i="23"/>
  <c r="N44" i="23"/>
  <c r="Q44" i="23"/>
  <c r="Q27" i="31"/>
  <c r="Q29" i="31" s="1"/>
  <c r="H51" i="80"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08" i="53" s="1"/>
  <c r="H153" i="53"/>
  <c r="H156" i="53" s="1"/>
  <c r="H121" i="53"/>
  <c r="H145" i="53"/>
  <c r="H148" i="53" s="1"/>
  <c r="H137" i="53"/>
  <c r="H161" i="53"/>
  <c r="H88" i="81"/>
  <c r="H87" i="81"/>
  <c r="H86" i="81"/>
  <c r="H84" i="81"/>
  <c r="J98" i="81"/>
  <c r="H163" i="90" a="1"/>
  <c r="H163" i="90" s="1"/>
  <c r="H24" i="81"/>
  <c r="H25" i="81" s="1"/>
  <c r="H121" i="81" s="1"/>
  <c r="H19" i="76" s="1"/>
  <c r="H25" i="22"/>
  <c r="H24" i="22"/>
  <c r="H23" i="22"/>
  <c r="H22" i="22"/>
  <c r="A2" i="89"/>
  <c r="A1" i="89"/>
  <c r="C89" i="89" s="1"/>
  <c r="G98" i="85" s="1"/>
  <c r="A2" i="87"/>
  <c r="A1" i="87"/>
  <c r="C72" i="87" s="1"/>
  <c r="G90" i="85" s="1"/>
  <c r="L43" i="23"/>
  <c r="H39" i="81"/>
  <c r="Q19" i="31"/>
  <c r="N19" i="31"/>
  <c r="A2" i="86"/>
  <c r="A1" i="86"/>
  <c r="C23" i="86" s="1"/>
  <c r="G92" i="85" s="1"/>
  <c r="O53" i="86"/>
  <c r="S53" i="86"/>
  <c r="R53" i="86"/>
  <c r="Q53" i="86"/>
  <c r="N53" i="86"/>
  <c r="H103" i="53"/>
  <c r="K53" i="86"/>
  <c r="H167" i="53"/>
  <c r="H119" i="53"/>
  <c r="H135" i="53"/>
  <c r="H143" i="53"/>
  <c r="H159" i="53"/>
  <c r="H151" i="53"/>
  <c r="H127" i="53"/>
  <c r="H111" i="53"/>
  <c r="K19" i="31"/>
  <c r="H39" i="70"/>
  <c r="H37" i="31"/>
  <c r="P38" i="31" s="1"/>
  <c r="P77" i="31" s="1"/>
  <c r="P46" i="81"/>
  <c r="N47" i="81" s="1"/>
  <c r="A2" i="85"/>
  <c r="A1" i="85"/>
  <c r="A2" i="84"/>
  <c r="A1" i="84"/>
  <c r="J20" i="31"/>
  <c r="J21" i="31" s="1"/>
  <c r="J23" i="31" s="1"/>
  <c r="A1" i="55"/>
  <c r="A2" i="83"/>
  <c r="A1" i="83"/>
  <c r="C204" i="83" s="1"/>
  <c r="G149" i="85" s="1"/>
  <c r="A2" i="82"/>
  <c r="A1" i="82"/>
  <c r="C57" i="82" s="1"/>
  <c r="G212" i="85" s="1"/>
  <c r="A2" i="81"/>
  <c r="A1" i="81"/>
  <c r="C104" i="81" s="1"/>
  <c r="G142" i="85" s="1"/>
  <c r="A2" i="80"/>
  <c r="A1" i="80"/>
  <c r="C266" i="80" s="1"/>
  <c r="G131" i="85" s="1"/>
  <c r="A2" i="65"/>
  <c r="A1" i="65"/>
  <c r="C127" i="65" s="1"/>
  <c r="G196" i="85" s="1"/>
  <c r="A2" i="76"/>
  <c r="A1" i="76"/>
  <c r="C33" i="76" s="1"/>
  <c r="G151" i="85" s="1"/>
  <c r="A2" i="74"/>
  <c r="A1" i="74"/>
  <c r="C97" i="74" s="1"/>
  <c r="G178" i="85" s="1"/>
  <c r="A2" i="73"/>
  <c r="A1" i="73"/>
  <c r="C219" i="73" s="1"/>
  <c r="G170" i="85" s="1"/>
  <c r="A2" i="72"/>
  <c r="A1" i="72"/>
  <c r="C220" i="72" s="1"/>
  <c r="G165" i="85" s="1"/>
  <c r="A2" i="71"/>
  <c r="A1" i="71"/>
  <c r="C214" i="71" s="1"/>
  <c r="G160" i="85" s="1"/>
  <c r="A2" i="70"/>
  <c r="A1" i="70"/>
  <c r="C19" i="70" s="1"/>
  <c r="G101" i="85" s="1"/>
  <c r="B14" i="27"/>
  <c r="B10" i="27"/>
  <c r="B6" i="27"/>
  <c r="B8" i="27"/>
  <c r="A2" i="41"/>
  <c r="A2" i="53"/>
  <c r="A2" i="22"/>
  <c r="A2" i="23"/>
  <c r="A2" i="31"/>
  <c r="A2" i="28"/>
  <c r="A2" i="55"/>
  <c r="A1" i="28"/>
  <c r="A1" i="53"/>
  <c r="C269" i="53" s="1"/>
  <c r="G122" i="85" s="1"/>
  <c r="A1" i="41"/>
  <c r="C45" i="41" s="1"/>
  <c r="G182" i="85" s="1"/>
  <c r="A1" i="31"/>
  <c r="C121" i="31" s="1"/>
  <c r="G106" i="85" s="1"/>
  <c r="A1" i="23"/>
  <c r="C16" i="23" s="1"/>
  <c r="G107" i="85" s="1"/>
  <c r="A1" i="22"/>
  <c r="C55" i="22" s="1"/>
  <c r="G110" i="85" s="1"/>
  <c r="L27" i="31"/>
  <c r="L29" i="31" s="1"/>
  <c r="K53" i="82" s="1"/>
  <c r="M27" i="31"/>
  <c r="M29" i="31" s="1"/>
  <c r="N27" i="31"/>
  <c r="N29" i="31" s="1"/>
  <c r="M53" i="82"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H82" i="87" a="1"/>
  <c r="H82" i="87" s="1"/>
  <c r="H84" i="87" s="1"/>
  <c r="U135" i="65"/>
  <c r="Y134" i="65"/>
  <c r="U134" i="65"/>
  <c r="K76" i="81"/>
  <c r="K108" i="81" s="1"/>
  <c r="K29" i="31" l="1"/>
  <c r="H45" i="80" s="1"/>
  <c r="H26" i="72"/>
  <c r="P65" i="31"/>
  <c r="O45" i="70"/>
  <c r="N45" i="70"/>
  <c r="M45" i="70"/>
  <c r="L45" i="70"/>
  <c r="K45" i="70"/>
  <c r="J45" i="70"/>
  <c r="Q45" i="70"/>
  <c r="P45" i="70"/>
  <c r="C87" i="65"/>
  <c r="G194" i="85" s="1"/>
  <c r="C98" i="65"/>
  <c r="G195" i="85" s="1"/>
  <c r="C40" i="65"/>
  <c r="G191" i="85" s="1"/>
  <c r="X134" i="65"/>
  <c r="X49" i="105" s="1"/>
  <c r="X88" i="105" s="1"/>
  <c r="X123" i="65"/>
  <c r="X152" i="65" s="1"/>
  <c r="V134" i="65"/>
  <c r="V123" i="65"/>
  <c r="V152" i="65" s="1"/>
  <c r="V67" i="105" s="1"/>
  <c r="V185" i="105" s="1"/>
  <c r="T134" i="65"/>
  <c r="T49" i="105" s="1"/>
  <c r="T88" i="105" s="1"/>
  <c r="T114" i="65"/>
  <c r="T143" i="65" s="1"/>
  <c r="T123" i="65"/>
  <c r="T152" i="65" s="1"/>
  <c r="S152" i="65"/>
  <c r="S67" i="105" s="1"/>
  <c r="S185" i="105" s="1"/>
  <c r="S134" i="65"/>
  <c r="S49" i="105" s="1"/>
  <c r="V135" i="65"/>
  <c r="V50" i="105" s="1"/>
  <c r="V89" i="105" s="1"/>
  <c r="V124" i="65"/>
  <c r="V153" i="65" s="1"/>
  <c r="V68" i="105" s="1"/>
  <c r="V186" i="105" s="1"/>
  <c r="T135" i="65"/>
  <c r="T50" i="105" s="1"/>
  <c r="T124" i="65"/>
  <c r="T153" i="65" s="1"/>
  <c r="T115" i="65"/>
  <c r="T144" i="65" s="1"/>
  <c r="S153" i="65"/>
  <c r="S68" i="105" s="1"/>
  <c r="S186" i="105" s="1"/>
  <c r="S135" i="65"/>
  <c r="S50" i="105" s="1"/>
  <c r="S89" i="105" s="1"/>
  <c r="Y135" i="65"/>
  <c r="Y50" i="105" s="1"/>
  <c r="A3" i="112"/>
  <c r="O43" i="82"/>
  <c r="O47" i="65"/>
  <c r="O54" i="112"/>
  <c r="O60" i="112" s="1"/>
  <c r="L47" i="65"/>
  <c r="R54" i="112"/>
  <c r="R60" i="112" s="1"/>
  <c r="P54" i="112"/>
  <c r="P60" i="112" s="1"/>
  <c r="S47" i="65"/>
  <c r="K47" i="65"/>
  <c r="W47" i="65"/>
  <c r="U47" i="65"/>
  <c r="O47" i="81"/>
  <c r="C52" i="65"/>
  <c r="G192" i="85" s="1"/>
  <c r="C72" i="65"/>
  <c r="G193" i="85" s="1"/>
  <c r="Y49" i="105"/>
  <c r="V49" i="105"/>
  <c r="C151" i="90"/>
  <c r="G84" i="85" s="1"/>
  <c r="M47" i="81"/>
  <c r="P47" i="81"/>
  <c r="O38" i="31"/>
  <c r="O78" i="31" s="1"/>
  <c r="S127" i="31"/>
  <c r="C49" i="87"/>
  <c r="G88" i="85" s="1"/>
  <c r="C58" i="87"/>
  <c r="G89" i="85" s="1"/>
  <c r="C65" i="53"/>
  <c r="G116" i="85" s="1"/>
  <c r="C265" i="53"/>
  <c r="G121" i="85" s="1"/>
  <c r="C13" i="87"/>
  <c r="G86" i="85" s="1"/>
  <c r="C36" i="53"/>
  <c r="G113" i="85" s="1"/>
  <c r="H107" i="53"/>
  <c r="Q178" i="53" s="1"/>
  <c r="Q240" i="53" s="1"/>
  <c r="H123" i="53"/>
  <c r="Q188" i="53" s="1"/>
  <c r="Q242" i="53" s="1"/>
  <c r="H90" i="81"/>
  <c r="H122" i="81" s="1"/>
  <c r="H20" i="76" s="1"/>
  <c r="H27" i="72"/>
  <c r="H29" i="72"/>
  <c r="P76" i="31"/>
  <c r="M38" i="31"/>
  <c r="M119" i="31" s="1"/>
  <c r="H131" i="53"/>
  <c r="Q193" i="53" s="1"/>
  <c r="Q243" i="53" s="1"/>
  <c r="P72" i="31"/>
  <c r="H25" i="72"/>
  <c r="U50" i="105"/>
  <c r="N31" i="81"/>
  <c r="P28" i="31"/>
  <c r="P29" i="31" s="1"/>
  <c r="H43" i="83" s="1" a="1"/>
  <c r="N38" i="31"/>
  <c r="N118" i="31" s="1"/>
  <c r="H30" i="72"/>
  <c r="H22" i="72"/>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U49" i="105"/>
  <c r="H28" i="72"/>
  <c r="H24" i="72"/>
  <c r="N57" i="23"/>
  <c r="L113" i="31"/>
  <c r="J117" i="31"/>
  <c r="S113" i="31"/>
  <c r="L110" i="31"/>
  <c r="P118" i="31"/>
  <c r="M114"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Q204" i="53"/>
  <c r="Q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Q179" i="53"/>
  <c r="Q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H50" i="80"/>
  <c r="M31" i="81"/>
  <c r="H124" i="53"/>
  <c r="Q189" i="53" s="1"/>
  <c r="Q253" i="53" s="1"/>
  <c r="P79" i="31"/>
  <c r="N76" i="31"/>
  <c r="Q67" i="31"/>
  <c r="N80"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M65" i="31"/>
  <c r="K65" i="31"/>
  <c r="N75" i="31"/>
  <c r="J80" i="31"/>
  <c r="R70" i="31"/>
  <c r="R131" i="31" s="1"/>
  <c r="H166" i="90"/>
  <c r="H168" i="90"/>
  <c r="H53" i="86"/>
  <c r="H169" i="90"/>
  <c r="H170" i="90"/>
  <c r="A3" i="80"/>
  <c r="S134" i="31"/>
  <c r="H53" i="80"/>
  <c r="S31" i="81"/>
  <c r="S133" i="31"/>
  <c r="H48" i="80"/>
  <c r="H47" i="80"/>
  <c r="L53" i="82"/>
  <c r="H112" i="89"/>
  <c r="H111" i="89"/>
  <c r="M73" i="31"/>
  <c r="M107" i="31"/>
  <c r="M77" i="31"/>
  <c r="M75" i="31"/>
  <c r="Q31" i="81"/>
  <c r="H72" i="89"/>
  <c r="H80" i="89" s="1"/>
  <c r="H87" i="89" s="1"/>
  <c r="H37" i="41" s="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M80"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N110" i="31"/>
  <c r="Q117" i="31"/>
  <c r="P106" i="31"/>
  <c r="P112" i="31"/>
  <c r="R117" i="31"/>
  <c r="K107" i="31"/>
  <c r="R66" i="31"/>
  <c r="R127" i="31" s="1"/>
  <c r="K80" i="31"/>
  <c r="S68" i="31"/>
  <c r="S129" i="31" s="1"/>
  <c r="M67" i="31"/>
  <c r="L73" i="31"/>
  <c r="P71" i="31"/>
  <c r="K72" i="31"/>
  <c r="M69" i="31"/>
  <c r="L77" i="31"/>
  <c r="L69" i="31"/>
  <c r="Q79" i="31"/>
  <c r="J77" i="31"/>
  <c r="Q71" i="31"/>
  <c r="J69" i="31"/>
  <c r="M66" i="31"/>
  <c r="M68" i="31"/>
  <c r="M70" i="31"/>
  <c r="M72" i="31"/>
  <c r="M74" i="31"/>
  <c r="M76" i="31"/>
  <c r="M78" i="31"/>
  <c r="J78" i="31"/>
  <c r="S76" i="31"/>
  <c r="P80" i="31"/>
  <c r="R67" i="31"/>
  <c r="K74" i="31"/>
  <c r="R68" i="31"/>
  <c r="P66" i="31"/>
  <c r="M79" i="31"/>
  <c r="J74" i="31"/>
  <c r="M71" i="31"/>
  <c r="J66" i="31"/>
  <c r="S78" i="31"/>
  <c r="S139" i="31" s="1"/>
  <c r="P74" i="31"/>
  <c r="R73" i="31"/>
  <c r="R134" i="31" s="1"/>
  <c r="K118" i="31"/>
  <c r="K116" i="31"/>
  <c r="K114" i="31"/>
  <c r="K112" i="31"/>
  <c r="K110" i="31"/>
  <c r="K108" i="31"/>
  <c r="K106" i="31"/>
  <c r="K104" i="31"/>
  <c r="M116" i="31"/>
  <c r="M108" i="31"/>
  <c r="N117" i="31"/>
  <c r="N105" i="31"/>
  <c r="K105" i="31"/>
  <c r="Q104" i="31"/>
  <c r="K115" i="31"/>
  <c r="K111" i="31"/>
  <c r="L114" i="31"/>
  <c r="L106" i="31"/>
  <c r="S118" i="31"/>
  <c r="Q113" i="31"/>
  <c r="S110" i="31"/>
  <c r="Q105" i="31"/>
  <c r="K113" i="31"/>
  <c r="M112" i="31"/>
  <c r="J119" i="31"/>
  <c r="P116" i="31"/>
  <c r="R113" i="31"/>
  <c r="J111" i="31"/>
  <c r="P108" i="31"/>
  <c r="R105" i="31"/>
  <c r="M113" i="31"/>
  <c r="M105" i="31"/>
  <c r="R118" i="31"/>
  <c r="R116" i="31"/>
  <c r="R114" i="31"/>
  <c r="R112" i="31"/>
  <c r="R110" i="31"/>
  <c r="R108" i="31"/>
  <c r="R106" i="31"/>
  <c r="R104" i="31"/>
  <c r="Q110" i="31"/>
  <c r="S111" i="31"/>
  <c r="K119" i="31"/>
  <c r="S107" i="31"/>
  <c r="L116" i="31"/>
  <c r="L108" i="31"/>
  <c r="Q115" i="31"/>
  <c r="S112" i="31"/>
  <c r="Q107" i="31"/>
  <c r="S104" i="31"/>
  <c r="J104" i="31"/>
  <c r="Q106" i="31"/>
  <c r="M104" i="31"/>
  <c r="R111" i="31"/>
  <c r="J107" i="31"/>
  <c r="M115" i="31"/>
  <c r="Q111" i="31"/>
  <c r="S106" i="31"/>
  <c r="L117" i="31"/>
  <c r="N114" i="31"/>
  <c r="L109" i="31"/>
  <c r="N106" i="31"/>
  <c r="Q118" i="31"/>
  <c r="M110" i="31"/>
  <c r="R119" i="31"/>
  <c r="J115" i="31"/>
  <c r="P110" i="31"/>
  <c r="Q119" i="31"/>
  <c r="S114" i="31"/>
  <c r="M111"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M106" i="31"/>
  <c r="Q116" i="31"/>
  <c r="K79" i="31"/>
  <c r="Q74" i="31"/>
  <c r="S69" i="31"/>
  <c r="S130" i="31" s="1"/>
  <c r="J68" i="31"/>
  <c r="L71" i="31"/>
  <c r="S74" i="31"/>
  <c r="S135" i="31" s="1"/>
  <c r="P78" i="31"/>
  <c r="P68" i="31"/>
  <c r="R78" i="31"/>
  <c r="R74" i="31"/>
  <c r="L105" i="31"/>
  <c r="N112" i="31"/>
  <c r="L119" i="31"/>
  <c r="M109" i="31"/>
  <c r="L104" i="31"/>
  <c r="Q73" i="31"/>
  <c r="M118" i="31"/>
  <c r="J71" i="31"/>
  <c r="K117" i="31"/>
  <c r="S109" i="31"/>
  <c r="H167" i="90"/>
  <c r="A3" i="72"/>
  <c r="A3" i="86"/>
  <c r="A3" i="90"/>
  <c r="A3" i="83"/>
  <c r="A3" i="41"/>
  <c r="A3" i="89"/>
  <c r="C190" i="105"/>
  <c r="G207" i="85" s="1"/>
  <c r="A3" i="106"/>
  <c r="A3" i="31"/>
  <c r="A3" i="55"/>
  <c r="A3" i="70"/>
  <c r="A3" i="23"/>
  <c r="A3" i="81"/>
  <c r="A3" i="28"/>
  <c r="A3" i="74"/>
  <c r="A3" i="84"/>
  <c r="A3" i="105"/>
  <c r="A3" i="87"/>
  <c r="A3" i="82"/>
  <c r="A3" i="22"/>
  <c r="A3" i="111"/>
  <c r="A3" i="76"/>
  <c r="A3" i="71"/>
  <c r="A3" i="73"/>
  <c r="A3" i="85"/>
  <c r="A3" i="65"/>
  <c r="C95" i="89"/>
  <c r="G99" i="85" s="1"/>
  <c r="C92" i="41"/>
  <c r="G184" i="85" s="1"/>
  <c r="C31" i="86"/>
  <c r="G93" i="85" s="1"/>
  <c r="C38" i="23"/>
  <c r="G108" i="85" s="1"/>
  <c r="C37" i="76"/>
  <c r="G152" i="85" s="1"/>
  <c r="C126" i="105"/>
  <c r="G202" i="85" s="1"/>
  <c r="C15" i="41"/>
  <c r="G181" i="85" s="1"/>
  <c r="C17" i="76"/>
  <c r="G150" i="85" s="1"/>
  <c r="C13" i="89"/>
  <c r="G95" i="85" s="1"/>
  <c r="C35" i="89"/>
  <c r="G97" i="85" s="1"/>
  <c r="C99" i="89"/>
  <c r="G100" i="85" s="1"/>
  <c r="C81" i="105"/>
  <c r="G200" i="85" s="1"/>
  <c r="C13" i="86"/>
  <c r="G91" i="85" s="1"/>
  <c r="C25" i="89"/>
  <c r="G96" i="85" s="1"/>
  <c r="C35" i="86"/>
  <c r="G94" i="85" s="1"/>
  <c r="C68" i="41"/>
  <c r="G183" i="85" s="1"/>
  <c r="C16" i="65"/>
  <c r="G189" i="85" s="1"/>
  <c r="C131" i="41"/>
  <c r="G185" i="85" s="1"/>
  <c r="C28" i="65"/>
  <c r="G190" i="85" s="1"/>
  <c r="C18" i="87"/>
  <c r="G87" i="85" s="1"/>
  <c r="C132" i="105"/>
  <c r="G203" i="85" s="1"/>
  <c r="C140" i="105"/>
  <c r="G204" i="85" s="1"/>
  <c r="C13" i="90"/>
  <c r="G77" i="85" s="1"/>
  <c r="C20" i="90"/>
  <c r="G78" i="85" s="1"/>
  <c r="C99" i="90"/>
  <c r="G82" i="85" s="1"/>
  <c r="C15" i="22"/>
  <c r="G109" i="85" s="1"/>
  <c r="C25" i="31"/>
  <c r="G103" i="85" s="1"/>
  <c r="C35" i="31"/>
  <c r="G104" i="85" s="1"/>
  <c r="C18" i="53"/>
  <c r="G111" i="85" s="1"/>
  <c r="C52" i="53"/>
  <c r="G114" i="85" s="1"/>
  <c r="C100" i="53"/>
  <c r="G118" i="85" s="1"/>
  <c r="C221" i="53"/>
  <c r="G120" i="85" s="1"/>
  <c r="C19" i="73"/>
  <c r="G166" i="85" s="1"/>
  <c r="C19" i="71"/>
  <c r="G153" i="85" s="1"/>
  <c r="C49" i="71"/>
  <c r="G154" i="85" s="1"/>
  <c r="C109" i="71"/>
  <c r="G156" i="85" s="1"/>
  <c r="C154" i="71"/>
  <c r="G158" i="85" s="1"/>
  <c r="C120" i="72"/>
  <c r="G162" i="85" s="1"/>
  <c r="C190" i="72"/>
  <c r="G164" i="85" s="1"/>
  <c r="C189" i="73"/>
  <c r="G169" i="85" s="1"/>
  <c r="C254" i="73"/>
  <c r="G171" i="85" s="1"/>
  <c r="C52" i="74"/>
  <c r="G175" i="85" s="1"/>
  <c r="C67" i="74"/>
  <c r="G177" i="85" s="1"/>
  <c r="C127" i="74"/>
  <c r="G179" i="85" s="1"/>
  <c r="C259" i="73"/>
  <c r="G172" i="85" s="1"/>
  <c r="C159" i="74"/>
  <c r="G180" i="85" s="1"/>
  <c r="C67" i="80"/>
  <c r="G124" i="85" s="1"/>
  <c r="C138" i="80"/>
  <c r="G125" i="85" s="1"/>
  <c r="C184" i="80"/>
  <c r="G127" i="85" s="1"/>
  <c r="C236" i="80"/>
  <c r="G129" i="85" s="1"/>
  <c r="C35" i="81"/>
  <c r="G135" i="85" s="1"/>
  <c r="C50" i="81"/>
  <c r="G137" i="85" s="1"/>
  <c r="C69" i="81"/>
  <c r="G139" i="85" s="1"/>
  <c r="C92" i="81"/>
  <c r="G141" i="85" s="1"/>
  <c r="C110" i="81"/>
  <c r="G143" i="85" s="1"/>
  <c r="C117" i="81"/>
  <c r="G144" i="85" s="1"/>
  <c r="C14" i="82"/>
  <c r="G209" i="85" s="1"/>
  <c r="C67" i="82"/>
  <c r="G213" i="85" s="1"/>
  <c r="C27" i="82"/>
  <c r="G210" i="85" s="1"/>
  <c r="C13" i="83"/>
  <c r="G145" i="85" s="1"/>
  <c r="C118" i="83"/>
  <c r="G146" i="85" s="1"/>
  <c r="C175" i="83"/>
  <c r="G148" i="85" s="1"/>
  <c r="C33" i="90"/>
  <c r="G79" i="85" s="1"/>
  <c r="C84" i="90"/>
  <c r="G81" i="85" s="1"/>
  <c r="C141" i="90"/>
  <c r="G83" i="85" s="1"/>
  <c r="C13" i="105"/>
  <c r="G197" i="85" s="1"/>
  <c r="C71" i="105"/>
  <c r="G199" i="85" s="1"/>
  <c r="C113" i="105"/>
  <c r="G201" i="85" s="1"/>
  <c r="C166" i="105"/>
  <c r="G206" i="85" s="1"/>
  <c r="C151" i="105"/>
  <c r="G205" i="85" s="1"/>
  <c r="C43" i="90"/>
  <c r="G80" i="85" s="1"/>
  <c r="C17" i="31"/>
  <c r="G102" i="85" s="1"/>
  <c r="C40" i="31"/>
  <c r="G105" i="85" s="1"/>
  <c r="C28" i="53"/>
  <c r="G112" i="85" s="1"/>
  <c r="C60" i="53"/>
  <c r="G115" i="85" s="1"/>
  <c r="C87" i="53"/>
  <c r="G117" i="85" s="1"/>
  <c r="C174" i="53"/>
  <c r="G119" i="85" s="1"/>
  <c r="C16" i="74"/>
  <c r="G173" i="85" s="1"/>
  <c r="C17" i="72"/>
  <c r="G161" i="85" s="1"/>
  <c r="C79" i="71"/>
  <c r="G155" i="85" s="1"/>
  <c r="C124" i="71"/>
  <c r="G157" i="85" s="1"/>
  <c r="C184" i="71"/>
  <c r="G159" i="85" s="1"/>
  <c r="C155" i="72"/>
  <c r="G163" i="85" s="1"/>
  <c r="C129" i="73"/>
  <c r="G167" i="85" s="1"/>
  <c r="C159" i="73"/>
  <c r="G168" i="85" s="1"/>
  <c r="C22" i="74"/>
  <c r="G174" i="85" s="1"/>
  <c r="C58" i="74"/>
  <c r="G176" i="85" s="1"/>
  <c r="C18" i="80"/>
  <c r="G123" i="85" s="1"/>
  <c r="C164" i="80"/>
  <c r="G126" i="85" s="1"/>
  <c r="C194" i="80"/>
  <c r="G128" i="85" s="1"/>
  <c r="C249" i="80"/>
  <c r="G130" i="85" s="1"/>
  <c r="C19" i="81"/>
  <c r="G133" i="85" s="1"/>
  <c r="C27" i="81"/>
  <c r="G134" i="85" s="1"/>
  <c r="C42" i="81"/>
  <c r="G136" i="85" s="1"/>
  <c r="C62" i="81"/>
  <c r="G138" i="85" s="1"/>
  <c r="C80" i="81"/>
  <c r="G140" i="85" s="1"/>
  <c r="C45" i="82"/>
  <c r="G211" i="85" s="1"/>
  <c r="C146" i="83"/>
  <c r="G147" i="85" s="1"/>
  <c r="K31" i="81" l="1"/>
  <c r="J53" i="82"/>
  <c r="H35" i="72" a="1"/>
  <c r="O53" i="82"/>
  <c r="N108" i="31"/>
  <c r="N119" i="31"/>
  <c r="N66" i="31"/>
  <c r="N70" i="31"/>
  <c r="N78" i="31"/>
  <c r="K139" i="31" s="1"/>
  <c r="N67" i="31"/>
  <c r="N107" i="31"/>
  <c r="N79" i="31"/>
  <c r="N77" i="31"/>
  <c r="N73" i="31"/>
  <c r="N109" i="31"/>
  <c r="N74" i="31"/>
  <c r="N68" i="31"/>
  <c r="N72" i="31"/>
  <c r="N111" i="31"/>
  <c r="N113" i="31"/>
  <c r="N71" i="31"/>
  <c r="N115" i="31"/>
  <c r="N69" i="31"/>
  <c r="N65" i="31"/>
  <c r="N116" i="31"/>
  <c r="N104" i="31"/>
  <c r="O110" i="31"/>
  <c r="O68" i="31"/>
  <c r="O129" i="31" s="1"/>
  <c r="O112" i="31"/>
  <c r="O79" i="31"/>
  <c r="O67" i="31"/>
  <c r="O65" i="31"/>
  <c r="O126" i="31" s="1"/>
  <c r="O109" i="31"/>
  <c r="O116" i="31"/>
  <c r="O107" i="31"/>
  <c r="O106" i="31"/>
  <c r="O75" i="31"/>
  <c r="M136" i="31" s="1"/>
  <c r="O114" i="31"/>
  <c r="O118" i="31"/>
  <c r="O113" i="31"/>
  <c r="O115" i="31"/>
  <c r="O66" i="31"/>
  <c r="J127" i="31" s="1"/>
  <c r="O72" i="31"/>
  <c r="O69" i="31"/>
  <c r="K130" i="31" s="1"/>
  <c r="O117" i="31"/>
  <c r="O70" i="31"/>
  <c r="O131" i="31" s="1"/>
  <c r="O105" i="31"/>
  <c r="O74" i="31"/>
  <c r="O73" i="31"/>
  <c r="O111" i="31"/>
  <c r="O76" i="31"/>
  <c r="N137" i="31" s="1"/>
  <c r="O71" i="31"/>
  <c r="K132" i="31" s="1"/>
  <c r="O104" i="31"/>
  <c r="O77" i="31"/>
  <c r="N138" i="31" s="1"/>
  <c r="O108" i="31"/>
  <c r="O119" i="31"/>
  <c r="O80" i="31"/>
  <c r="J141" i="31" s="1"/>
  <c r="H108" i="89" a="1"/>
  <c r="H108" i="89" s="1"/>
  <c r="H114" i="89" s="1"/>
  <c r="J54" i="112"/>
  <c r="J47" i="65"/>
  <c r="W134" i="65"/>
  <c r="W49" i="105" s="1"/>
  <c r="W88" i="105" s="1"/>
  <c r="X135" i="65"/>
  <c r="X50" i="105" s="1"/>
  <c r="X89" i="105" s="1"/>
  <c r="X124" i="65"/>
  <c r="X153" i="65" s="1"/>
  <c r="X68" i="105" s="1"/>
  <c r="X186" i="105" s="1"/>
  <c r="W135" i="65"/>
  <c r="W50" i="105" s="1"/>
  <c r="W89" i="105" s="1"/>
  <c r="U43" i="82"/>
  <c r="V47" i="65"/>
  <c r="M43" i="82"/>
  <c r="M47" i="65"/>
  <c r="P43" i="82"/>
  <c r="P47" i="65"/>
  <c r="R43" i="82"/>
  <c r="R47" i="65"/>
  <c r="N43" i="82"/>
  <c r="N47" i="65"/>
  <c r="Q54" i="112"/>
  <c r="Q60" i="112" s="1"/>
  <c r="Q47" i="65"/>
  <c r="T47" i="65"/>
  <c r="J43" i="82"/>
  <c r="M54" i="112"/>
  <c r="M60" i="112" s="1"/>
  <c r="L43" i="82"/>
  <c r="L54" i="112"/>
  <c r="L60" i="112" s="1"/>
  <c r="V54" i="112"/>
  <c r="V60" i="112" s="1"/>
  <c r="Q43" i="82"/>
  <c r="N54" i="112"/>
  <c r="N60" i="112" s="1"/>
  <c r="T54" i="112"/>
  <c r="T60" i="112" s="1"/>
  <c r="T43" i="82"/>
  <c r="S54" i="112"/>
  <c r="S60" i="112" s="1"/>
  <c r="S43" i="82"/>
  <c r="K43" i="82"/>
  <c r="K54" i="112"/>
  <c r="K60" i="112" s="1"/>
  <c r="W54" i="112"/>
  <c r="W60" i="112" s="1"/>
  <c r="U54" i="112"/>
  <c r="U60" i="112" s="1"/>
  <c r="T68" i="105"/>
  <c r="T186" i="105" s="1"/>
  <c r="T58" i="105"/>
  <c r="T174" i="105" s="1"/>
  <c r="T67" i="105"/>
  <c r="T185" i="105" s="1"/>
  <c r="H37" i="73" a="1"/>
  <c r="H37" i="73" s="1"/>
  <c r="T59" i="105"/>
  <c r="T175" i="105" s="1"/>
  <c r="H172" i="90"/>
  <c r="A4" i="90" s="1"/>
  <c r="X67" i="105"/>
  <c r="X185" i="105" s="1"/>
  <c r="P31" i="81"/>
  <c r="H56" i="86"/>
  <c r="A4" i="86" s="1"/>
  <c r="R126" i="31"/>
  <c r="P141" i="31"/>
  <c r="R138" i="31"/>
  <c r="K21" i="31"/>
  <c r="K23" i="31" s="1"/>
  <c r="K32" i="81" s="1"/>
  <c r="K33" i="81" s="1"/>
  <c r="S40" i="81" s="1"/>
  <c r="S48" i="81" s="1"/>
  <c r="L20" i="31"/>
  <c r="N84" i="22"/>
  <c r="N110" i="22"/>
  <c r="N121" i="22"/>
  <c r="N132" i="22"/>
  <c r="N99" i="22"/>
  <c r="N73" i="22"/>
  <c r="N62" i="22"/>
  <c r="Q73" i="22"/>
  <c r="Q99" i="22"/>
  <c r="Q110" i="22"/>
  <c r="Q121" i="22"/>
  <c r="Q132" i="22"/>
  <c r="Q62" i="22"/>
  <c r="Q84" i="22"/>
  <c r="P82" i="72"/>
  <c r="P113" i="71"/>
  <c r="P95" i="73"/>
  <c r="P24" i="80"/>
  <c r="L113" i="71"/>
  <c r="L24" i="80"/>
  <c r="L82" i="72"/>
  <c r="L95" i="73"/>
  <c r="J74" i="22"/>
  <c r="J100" i="22"/>
  <c r="J63" i="22"/>
  <c r="J133" i="22"/>
  <c r="J85" i="22"/>
  <c r="J122" i="22"/>
  <c r="J111" i="22"/>
  <c r="L57" i="23"/>
  <c r="O57" i="23"/>
  <c r="J73" i="22"/>
  <c r="J110" i="22"/>
  <c r="J62" i="22"/>
  <c r="J99" i="22"/>
  <c r="J132" i="22"/>
  <c r="J84" i="22"/>
  <c r="J121" i="22"/>
  <c r="O73" i="22"/>
  <c r="O99" i="22"/>
  <c r="O110" i="22"/>
  <c r="O132" i="22"/>
  <c r="O84" i="22"/>
  <c r="O62" i="22"/>
  <c r="O121" i="22"/>
  <c r="P99" i="22"/>
  <c r="P121" i="22"/>
  <c r="P110" i="22"/>
  <c r="P62" i="22"/>
  <c r="P84" i="22"/>
  <c r="P73" i="22"/>
  <c r="P132" i="22"/>
  <c r="Q24" i="80"/>
  <c r="Q113" i="71"/>
  <c r="Q82" i="72"/>
  <c r="Q95" i="73"/>
  <c r="O113" i="71"/>
  <c r="O24" i="80"/>
  <c r="O82" i="72"/>
  <c r="O95" i="73"/>
  <c r="P74" i="22"/>
  <c r="P111" i="22"/>
  <c r="P122" i="22"/>
  <c r="P133" i="22"/>
  <c r="P85" i="22"/>
  <c r="P63" i="22"/>
  <c r="P100" i="22"/>
  <c r="L85" i="22"/>
  <c r="L100" i="22"/>
  <c r="L111" i="22"/>
  <c r="L122" i="22"/>
  <c r="L133" i="22"/>
  <c r="L63" i="22"/>
  <c r="L74" i="22"/>
  <c r="Q85" i="22"/>
  <c r="Q74" i="22"/>
  <c r="Q111" i="22"/>
  <c r="Q133" i="22"/>
  <c r="Q63" i="22"/>
  <c r="Q100" i="22"/>
  <c r="Q122" i="22"/>
  <c r="Q57" i="23"/>
  <c r="L84" i="22"/>
  <c r="L62" i="22"/>
  <c r="L73" i="22"/>
  <c r="L110" i="22"/>
  <c r="L132" i="22"/>
  <c r="L99" i="22"/>
  <c r="L121" i="22"/>
  <c r="N24" i="80"/>
  <c r="N113" i="71"/>
  <c r="N82" i="72"/>
  <c r="N95" i="73"/>
  <c r="J95" i="73"/>
  <c r="J82" i="72"/>
  <c r="J24" i="80"/>
  <c r="J113" i="71"/>
  <c r="M85" i="22"/>
  <c r="M100" i="22"/>
  <c r="M111" i="22"/>
  <c r="M133" i="22"/>
  <c r="M122" i="22"/>
  <c r="M74" i="22"/>
  <c r="M63" i="22"/>
  <c r="O122" i="22"/>
  <c r="O85" i="22"/>
  <c r="O63" i="22"/>
  <c r="O74" i="22"/>
  <c r="O111" i="22"/>
  <c r="O133" i="22"/>
  <c r="O100" i="22"/>
  <c r="S57" i="23"/>
  <c r="P57" i="23"/>
  <c r="M73" i="22"/>
  <c r="M121" i="22"/>
  <c r="M110" i="22"/>
  <c r="M132" i="22"/>
  <c r="M84" i="22"/>
  <c r="M99" i="22"/>
  <c r="M62" i="22"/>
  <c r="K84" i="22"/>
  <c r="K62" i="22"/>
  <c r="K99" i="22"/>
  <c r="K121" i="22"/>
  <c r="K73" i="22"/>
  <c r="K110" i="22"/>
  <c r="K132" i="22"/>
  <c r="M82" i="72"/>
  <c r="M113" i="71"/>
  <c r="M95" i="73"/>
  <c r="M24" i="80"/>
  <c r="K24" i="80"/>
  <c r="K95" i="73"/>
  <c r="K113" i="71"/>
  <c r="K82" i="72"/>
  <c r="N100" i="22"/>
  <c r="N74" i="22"/>
  <c r="N122" i="22"/>
  <c r="N85" i="22"/>
  <c r="N111" i="22"/>
  <c r="N133" i="22"/>
  <c r="N63" i="22"/>
  <c r="K85" i="22"/>
  <c r="K100" i="22"/>
  <c r="K111" i="22"/>
  <c r="K122" i="22"/>
  <c r="K133" i="22"/>
  <c r="K63" i="22"/>
  <c r="K74" i="22"/>
  <c r="P131" i="31"/>
  <c r="R132" i="31"/>
  <c r="R140" i="31"/>
  <c r="K204" i="80"/>
  <c r="V88" i="105"/>
  <c r="T89" i="105"/>
  <c r="Y88" i="105"/>
  <c r="V109" i="105"/>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Y55" i="41"/>
  <c r="R199" i="53"/>
  <c r="S199" i="53"/>
  <c r="S189" i="53"/>
  <c r="R189" i="53"/>
  <c r="S183" i="53"/>
  <c r="R183" i="53"/>
  <c r="Y89" i="105"/>
  <c r="U88" i="105"/>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U89" i="105"/>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88" i="105"/>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J35" i="55"/>
  <c r="A4" i="87"/>
  <c r="H51" i="83"/>
  <c r="H52" i="83"/>
  <c r="H43" i="83"/>
  <c r="H49" i="83"/>
  <c r="H48" i="83"/>
  <c r="H46" i="83"/>
  <c r="H47" i="83"/>
  <c r="H45" i="83"/>
  <c r="H44" i="83"/>
  <c r="H50" i="83"/>
  <c r="P136" i="31"/>
  <c r="H293" i="73"/>
  <c r="M137" i="31"/>
  <c r="Q132" i="31"/>
  <c r="Q135" i="31"/>
  <c r="Q127" i="31"/>
  <c r="Q131" i="31"/>
  <c r="H42" i="72"/>
  <c r="H36" i="72"/>
  <c r="H37" i="72"/>
  <c r="H40" i="72"/>
  <c r="H38" i="72"/>
  <c r="H43" i="72"/>
  <c r="H39" i="72"/>
  <c r="H35" i="72"/>
  <c r="H41" i="72"/>
  <c r="H44" i="72"/>
  <c r="L55" i="23"/>
  <c r="P55" i="23"/>
  <c r="N55" i="23"/>
  <c r="O55" i="23"/>
  <c r="R55" i="23"/>
  <c r="M55" i="23"/>
  <c r="S55" i="23"/>
  <c r="Q55" i="23"/>
  <c r="P129" i="31"/>
  <c r="P135" i="31"/>
  <c r="R128" i="31"/>
  <c r="P128" i="31"/>
  <c r="L141" i="31"/>
  <c r="R136" i="31"/>
  <c r="Q128" i="31"/>
  <c r="L58" i="23"/>
  <c r="Q58" i="23"/>
  <c r="P58" i="23"/>
  <c r="S58" i="23"/>
  <c r="N58" i="23"/>
  <c r="M58" i="23"/>
  <c r="R58" i="23"/>
  <c r="O58" i="23"/>
  <c r="N62" i="23"/>
  <c r="O62" i="23"/>
  <c r="R62" i="23"/>
  <c r="M62" i="23"/>
  <c r="Q62" i="23"/>
  <c r="S62" i="23"/>
  <c r="P62" i="23"/>
  <c r="O128" i="31"/>
  <c r="R137" i="31"/>
  <c r="P137" i="31"/>
  <c r="S137" i="31"/>
  <c r="Q134" i="31"/>
  <c r="P134" i="31"/>
  <c r="Q138" i="31"/>
  <c r="P138" i="31"/>
  <c r="L54" i="23"/>
  <c r="N54" i="23"/>
  <c r="S54" i="23"/>
  <c r="O54" i="23"/>
  <c r="R54" i="23"/>
  <c r="M54" i="23"/>
  <c r="Q54" i="23"/>
  <c r="P54" i="23"/>
  <c r="P127" i="31"/>
  <c r="J128" i="31"/>
  <c r="Q136" i="31"/>
  <c r="H58" i="70" a="1"/>
  <c r="H58" i="70" s="1"/>
  <c r="Q141" i="31"/>
  <c r="S141" i="31"/>
  <c r="R141" i="31"/>
  <c r="P130" i="31"/>
  <c r="L59" i="23"/>
  <c r="S59" i="23"/>
  <c r="Q59" i="23"/>
  <c r="P59" i="23"/>
  <c r="N59" i="23"/>
  <c r="O59" i="23"/>
  <c r="R59" i="23"/>
  <c r="M59" i="23"/>
  <c r="Q126" i="31"/>
  <c r="P126" i="31"/>
  <c r="Q129" i="31"/>
  <c r="R129" i="31"/>
  <c r="Q140" i="31"/>
  <c r="P140" i="31"/>
  <c r="N136" i="31"/>
  <c r="O136" i="31"/>
  <c r="L128"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J139" i="31"/>
  <c r="K134" i="31"/>
  <c r="H73" i="105"/>
  <c r="H115" i="105" s="1"/>
  <c r="Q137" i="31"/>
  <c r="L62" i="23"/>
  <c r="M139" i="31"/>
  <c r="L66" i="23"/>
  <c r="Q66" i="23"/>
  <c r="P66" i="23"/>
  <c r="N66" i="23"/>
  <c r="R66" i="23"/>
  <c r="O66" i="23"/>
  <c r="S66" i="23"/>
  <c r="M66" i="23"/>
  <c r="L65" i="23"/>
  <c r="S65" i="23"/>
  <c r="O65" i="23"/>
  <c r="R65" i="23"/>
  <c r="M65" i="23"/>
  <c r="Q65" i="23"/>
  <c r="P65" i="23"/>
  <c r="N65" i="23"/>
  <c r="P132" i="31"/>
  <c r="O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O139" i="31"/>
  <c r="Q130" i="31"/>
  <c r="R130" i="31"/>
  <c r="K137" i="31"/>
  <c r="K135" i="31" l="1"/>
  <c r="J136" i="31"/>
  <c r="N139" i="31"/>
  <c r="J126" i="31"/>
  <c r="L136" i="31"/>
  <c r="M131" i="31"/>
  <c r="K136" i="31"/>
  <c r="L139" i="31"/>
  <c r="M140" i="31"/>
  <c r="J135" i="31"/>
  <c r="M126" i="31"/>
  <c r="M135" i="31"/>
  <c r="K126" i="31"/>
  <c r="J131" i="31"/>
  <c r="N130" i="31"/>
  <c r="N132" i="31"/>
  <c r="J129" i="31"/>
  <c r="L134" i="31"/>
  <c r="N131" i="31"/>
  <c r="L131" i="31"/>
  <c r="H44" i="73"/>
  <c r="M130" i="31"/>
  <c r="J132" i="31"/>
  <c r="N128" i="31"/>
  <c r="N126" i="31"/>
  <c r="M129" i="31"/>
  <c r="J130" i="31"/>
  <c r="M132" i="31"/>
  <c r="M133" i="31"/>
  <c r="N129" i="31"/>
  <c r="K129" i="31"/>
  <c r="M128" i="31"/>
  <c r="L129" i="31"/>
  <c r="L132" i="31"/>
  <c r="K128" i="31"/>
  <c r="O130" i="31"/>
  <c r="L130" i="31"/>
  <c r="K140" i="31"/>
  <c r="L126" i="31"/>
  <c r="L140" i="31"/>
  <c r="K131" i="31"/>
  <c r="H131" i="31" s="1"/>
  <c r="S150" i="31" s="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H56" i="112"/>
  <c r="J60" i="112"/>
  <c r="H62" i="112" s="1"/>
  <c r="H64" i="112" s="1"/>
  <c r="O133" i="31"/>
  <c r="J133" i="31"/>
  <c r="J137" i="31"/>
  <c r="O137" i="31"/>
  <c r="L133" i="31"/>
  <c r="K133" i="31"/>
  <c r="H77" i="105"/>
  <c r="H119" i="105" s="1"/>
  <c r="H76" i="105"/>
  <c r="H118" i="105" s="1"/>
  <c r="H43" i="41"/>
  <c r="H41" i="73"/>
  <c r="H42" i="73"/>
  <c r="H38" i="73"/>
  <c r="X108" i="105"/>
  <c r="T108" i="105"/>
  <c r="X109" i="105"/>
  <c r="T98" i="105"/>
  <c r="H43" i="73"/>
  <c r="H46" i="73"/>
  <c r="H45" i="73"/>
  <c r="H39" i="73"/>
  <c r="H40" i="73"/>
  <c r="J36"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55" i="81"/>
  <c r="S56" i="81" s="1"/>
  <c r="S114" i="81" s="1"/>
  <c r="S129" i="81"/>
  <c r="S302" i="53"/>
  <c r="R276" i="53"/>
  <c r="R302" i="53"/>
  <c r="R285" i="53"/>
  <c r="R274" i="53"/>
  <c r="J109" i="72" a="1"/>
  <c r="J69" i="83" a="1"/>
  <c r="J107" i="73" a="1"/>
  <c r="L21" i="31"/>
  <c r="L23" i="31" s="1"/>
  <c r="M20" i="31"/>
  <c r="L40" i="81"/>
  <c r="L48" i="81" s="1"/>
  <c r="L55" i="81" s="1"/>
  <c r="L56" i="81" s="1"/>
  <c r="L114" i="81" s="1"/>
  <c r="O40" i="81"/>
  <c r="O48" i="81" s="1"/>
  <c r="N40" i="81"/>
  <c r="N48" i="81" s="1"/>
  <c r="R40" i="81"/>
  <c r="R48" i="81" s="1"/>
  <c r="Q40" i="81"/>
  <c r="Q48" i="81" s="1"/>
  <c r="P40" i="81"/>
  <c r="P48" i="81" s="1"/>
  <c r="K40" i="81"/>
  <c r="K48" i="81" s="1"/>
  <c r="M40" i="81"/>
  <c r="M48" i="81" s="1"/>
  <c r="M55" i="81" s="1"/>
  <c r="M56" i="81" s="1"/>
  <c r="M114" i="81" s="1"/>
  <c r="K65" i="22"/>
  <c r="K64" i="65"/>
  <c r="K67" i="65"/>
  <c r="K102" i="22"/>
  <c r="N68" i="65"/>
  <c r="N113" i="22"/>
  <c r="N67" i="65"/>
  <c r="N102" i="22"/>
  <c r="K60" i="65"/>
  <c r="K123" i="22"/>
  <c r="M64" i="22"/>
  <c r="M55" i="65"/>
  <c r="M59" i="65"/>
  <c r="M112" i="22"/>
  <c r="O68" i="65"/>
  <c r="O113" i="22"/>
  <c r="O69" i="65"/>
  <c r="O124" i="22"/>
  <c r="M70" i="65"/>
  <c r="M135" i="22"/>
  <c r="L60" i="65"/>
  <c r="L123" i="22"/>
  <c r="L56" i="65"/>
  <c r="L75" i="22"/>
  <c r="Q124" i="22"/>
  <c r="Q69" i="65"/>
  <c r="Q68" i="65"/>
  <c r="Q113" i="22"/>
  <c r="L65" i="22"/>
  <c r="L64" i="65"/>
  <c r="L67" i="65"/>
  <c r="L102" i="22"/>
  <c r="P66" i="65"/>
  <c r="P87" i="22"/>
  <c r="P65" i="65"/>
  <c r="P76" i="22"/>
  <c r="P64" i="22"/>
  <c r="P55" i="65"/>
  <c r="O60" i="65"/>
  <c r="O123" i="22"/>
  <c r="O59" i="65"/>
  <c r="O112" i="22"/>
  <c r="J57" i="65"/>
  <c r="J86" i="22"/>
  <c r="J59" i="65"/>
  <c r="J112" i="22"/>
  <c r="J69" i="65"/>
  <c r="J124" i="22"/>
  <c r="J67" i="65"/>
  <c r="J102" i="22"/>
  <c r="Q61" i="65"/>
  <c r="Q134" i="22"/>
  <c r="Q56" i="65"/>
  <c r="Q75" i="22"/>
  <c r="N61" i="65"/>
  <c r="N134" i="22"/>
  <c r="K135" i="22"/>
  <c r="K70" i="65"/>
  <c r="K66" i="65"/>
  <c r="K87" i="22"/>
  <c r="N66" i="65"/>
  <c r="N87" i="22"/>
  <c r="K61" i="65"/>
  <c r="K134" i="22"/>
  <c r="K58" i="65"/>
  <c r="K101" i="22"/>
  <c r="M58" i="65"/>
  <c r="M101" i="22"/>
  <c r="M60" i="65"/>
  <c r="M123" i="22"/>
  <c r="O65" i="65"/>
  <c r="O76" i="22"/>
  <c r="M65" i="22"/>
  <c r="M64" i="65"/>
  <c r="M68" i="65"/>
  <c r="M113" i="22"/>
  <c r="L58" i="65"/>
  <c r="L101" i="22"/>
  <c r="L64" i="22"/>
  <c r="L55" i="65"/>
  <c r="Q102" i="22"/>
  <c r="Q67" i="65"/>
  <c r="Q65" i="65"/>
  <c r="Q76" i="22"/>
  <c r="L70" i="65"/>
  <c r="L135" i="22"/>
  <c r="L66" i="65"/>
  <c r="L87" i="22"/>
  <c r="P70" i="65"/>
  <c r="P135" i="22"/>
  <c r="P134" i="22"/>
  <c r="P61" i="65"/>
  <c r="P112" i="22"/>
  <c r="P59" i="65"/>
  <c r="O55" i="65"/>
  <c r="O64" i="22"/>
  <c r="O58" i="65"/>
  <c r="O101" i="22"/>
  <c r="J61" i="65"/>
  <c r="J134" i="22"/>
  <c r="J56" i="65"/>
  <c r="J75" i="22"/>
  <c r="J66" i="65"/>
  <c r="J87" i="22"/>
  <c r="J65" i="65"/>
  <c r="J76" i="22"/>
  <c r="Q60" i="65"/>
  <c r="Q123" i="22"/>
  <c r="N64" i="22"/>
  <c r="N55" i="65"/>
  <c r="N60" i="65"/>
  <c r="N123" i="22"/>
  <c r="S295" i="53"/>
  <c r="R295" i="53"/>
  <c r="K69" i="65"/>
  <c r="K124" i="22"/>
  <c r="N65" i="22"/>
  <c r="N64" i="65"/>
  <c r="N69" i="65"/>
  <c r="N124" i="22"/>
  <c r="K59" i="65"/>
  <c r="K112" i="22"/>
  <c r="K64" i="22"/>
  <c r="K55" i="65"/>
  <c r="M57" i="65"/>
  <c r="M86" i="22"/>
  <c r="M56" i="65"/>
  <c r="M75" i="22"/>
  <c r="O67" i="65"/>
  <c r="O102" i="22"/>
  <c r="O65" i="22"/>
  <c r="O64" i="65"/>
  <c r="M65" i="65"/>
  <c r="M76" i="22"/>
  <c r="M67" i="65"/>
  <c r="M102" i="22"/>
  <c r="L61" i="65"/>
  <c r="L134" i="22"/>
  <c r="L57" i="65"/>
  <c r="L86" i="22"/>
  <c r="Q65" i="22"/>
  <c r="Q64" i="65"/>
  <c r="Q87" i="22"/>
  <c r="Q66" i="65"/>
  <c r="L69" i="65"/>
  <c r="L124" i="22"/>
  <c r="P102" i="22"/>
  <c r="P67" i="65"/>
  <c r="P69" i="65"/>
  <c r="P124" i="22"/>
  <c r="P75" i="22"/>
  <c r="P56" i="65"/>
  <c r="P60" i="65"/>
  <c r="P123" i="22"/>
  <c r="O57" i="65"/>
  <c r="O86" i="22"/>
  <c r="O56" i="65"/>
  <c r="O75" i="22"/>
  <c r="J58" i="65"/>
  <c r="J101" i="22"/>
  <c r="J70" i="65"/>
  <c r="J135" i="22"/>
  <c r="Q57" i="65"/>
  <c r="Q86" i="22"/>
  <c r="Q59" i="65"/>
  <c r="Q112" i="22"/>
  <c r="N56" i="65"/>
  <c r="N75" i="22"/>
  <c r="N59" i="65"/>
  <c r="N112" i="22"/>
  <c r="R286" i="53"/>
  <c r="K65" i="65"/>
  <c r="K76" i="22"/>
  <c r="K113" i="22"/>
  <c r="K68" i="65"/>
  <c r="N70" i="65"/>
  <c r="N135" i="22"/>
  <c r="N65" i="65"/>
  <c r="N76" i="22"/>
  <c r="K56" i="65"/>
  <c r="K75" i="22"/>
  <c r="K57" i="65"/>
  <c r="K86" i="22"/>
  <c r="M61" i="65"/>
  <c r="M134" i="22"/>
  <c r="O70" i="65"/>
  <c r="O135" i="22"/>
  <c r="O66" i="65"/>
  <c r="O87" i="22"/>
  <c r="M69" i="65"/>
  <c r="M124" i="22"/>
  <c r="M66" i="65"/>
  <c r="M87" i="22"/>
  <c r="L59" i="65"/>
  <c r="L112" i="22"/>
  <c r="Q70" i="65"/>
  <c r="Q135" i="22"/>
  <c r="L65" i="65"/>
  <c r="L76" i="22"/>
  <c r="L113" i="22"/>
  <c r="L68" i="65"/>
  <c r="P65" i="22"/>
  <c r="P64" i="65"/>
  <c r="P68" i="65"/>
  <c r="P113" i="22"/>
  <c r="P86" i="22"/>
  <c r="P57" i="65"/>
  <c r="P58" i="65"/>
  <c r="P101" i="22"/>
  <c r="O61" i="65"/>
  <c r="O134" i="22"/>
  <c r="J60" i="65"/>
  <c r="J123" i="22"/>
  <c r="J55" i="65"/>
  <c r="J64" i="22"/>
  <c r="J68" i="65"/>
  <c r="J113" i="22"/>
  <c r="J65" i="22"/>
  <c r="J64" i="65"/>
  <c r="Q64" i="22"/>
  <c r="Q55" i="65"/>
  <c r="Q58" i="65"/>
  <c r="Q101" i="22"/>
  <c r="N58" i="65"/>
  <c r="N101" i="22"/>
  <c r="N57" i="65"/>
  <c r="N86" i="22"/>
  <c r="R290" i="53"/>
  <c r="S290" i="53"/>
  <c r="V56" i="41"/>
  <c r="Y56" i="41"/>
  <c r="R299" i="53"/>
  <c r="S279" i="53"/>
  <c r="U55" i="41"/>
  <c r="T56" i="41"/>
  <c r="X56" i="41"/>
  <c r="R278" i="53"/>
  <c r="R301" i="53"/>
  <c r="T109" i="105"/>
  <c r="T55" i="41"/>
  <c r="X55" i="41"/>
  <c r="S301" i="53"/>
  <c r="S287" i="53"/>
  <c r="R279" i="53"/>
  <c r="T99" i="105"/>
  <c r="V108" i="105"/>
  <c r="U56" i="41"/>
  <c r="W55" i="41"/>
  <c r="S275" i="53"/>
  <c r="R277" i="53"/>
  <c r="S277" i="53"/>
  <c r="S276" i="53"/>
  <c r="W56" i="41"/>
  <c r="V55" i="41"/>
  <c r="J34" i="55"/>
  <c r="H70" i="23" a="1"/>
  <c r="H70" i="23" s="1"/>
  <c r="A4" i="23" s="1"/>
  <c r="A4" i="89"/>
  <c r="J37" i="55"/>
  <c r="H136" i="31"/>
  <c r="A4" i="70"/>
  <c r="J38" i="55"/>
  <c r="H139" i="31"/>
  <c r="H126" i="31" l="1"/>
  <c r="O136" i="22"/>
  <c r="O35" i="41" s="1"/>
  <c r="O156" i="41" s="1"/>
  <c r="H138" i="31"/>
  <c r="K77" i="22"/>
  <c r="H66" i="112" a="1"/>
  <c r="H66" i="112" s="1"/>
  <c r="A4" i="112" s="1"/>
  <c r="H130" i="31"/>
  <c r="Q149" i="31" s="1"/>
  <c r="H129" i="31"/>
  <c r="S148" i="31" s="1"/>
  <c r="H132" i="31"/>
  <c r="H128" i="31"/>
  <c r="O147" i="31" s="1"/>
  <c r="H127" i="31"/>
  <c r="H140" i="31"/>
  <c r="L178" i="31" s="1"/>
  <c r="H133" i="31"/>
  <c r="L152" i="31" s="1"/>
  <c r="H134" i="31"/>
  <c r="L172" i="31" s="1"/>
  <c r="H135" i="31"/>
  <c r="J154" i="31" s="1"/>
  <c r="H137" i="31"/>
  <c r="N175" i="31" s="1"/>
  <c r="H141" i="31"/>
  <c r="O179" i="31" s="1"/>
  <c r="P88" i="22"/>
  <c r="P31" i="41" s="1"/>
  <c r="K114" i="22"/>
  <c r="K188" i="80" s="1"/>
  <c r="BE122" i="41"/>
  <c r="BA122" i="41"/>
  <c r="AW122" i="41"/>
  <c r="AS122" i="41"/>
  <c r="AO122" i="41"/>
  <c r="AK122" i="41"/>
  <c r="AG122" i="41"/>
  <c r="AC122" i="41"/>
  <c r="Y122" i="41"/>
  <c r="U122" i="41"/>
  <c r="Q122" i="41"/>
  <c r="M122" i="41"/>
  <c r="Z122" i="41"/>
  <c r="N122" i="41"/>
  <c r="BD122" i="41"/>
  <c r="AZ122" i="41"/>
  <c r="AV122" i="41"/>
  <c r="AR122" i="41"/>
  <c r="AN122" i="41"/>
  <c r="AJ122" i="41"/>
  <c r="AF122" i="41"/>
  <c r="AB122" i="41"/>
  <c r="X122" i="41"/>
  <c r="T122" i="41"/>
  <c r="P122" i="41"/>
  <c r="L122" i="41"/>
  <c r="AH122" i="41"/>
  <c r="R122" i="41"/>
  <c r="J122" i="41"/>
  <c r="BC122" i="41"/>
  <c r="AY122" i="41"/>
  <c r="AU122" i="41"/>
  <c r="AQ122" i="41"/>
  <c r="AM122" i="41"/>
  <c r="AI122" i="41"/>
  <c r="AE122" i="41"/>
  <c r="AA122" i="41"/>
  <c r="W122" i="41"/>
  <c r="S122" i="41"/>
  <c r="O122" i="41"/>
  <c r="K122" i="41"/>
  <c r="BB122" i="41"/>
  <c r="AX122" i="41"/>
  <c r="AT122" i="41"/>
  <c r="AP122" i="41"/>
  <c r="AL122" i="41"/>
  <c r="AD122" i="41"/>
  <c r="V122" i="41"/>
  <c r="N114" i="22"/>
  <c r="N33" i="41" s="1"/>
  <c r="N154" i="41" s="1"/>
  <c r="P125" i="22"/>
  <c r="P189" i="80" s="1"/>
  <c r="N66" i="22"/>
  <c r="N29" i="41" s="1"/>
  <c r="K150" i="31"/>
  <c r="Q114" i="22"/>
  <c r="Q188" i="80" s="1"/>
  <c r="O77" i="22"/>
  <c r="O30" i="41" s="1"/>
  <c r="M77" i="22"/>
  <c r="M30" i="41" s="1"/>
  <c r="P77" i="22"/>
  <c r="P30" i="41" s="1"/>
  <c r="P150" i="31"/>
  <c r="Q66" i="22"/>
  <c r="Q31" i="53" s="1"/>
  <c r="K136" i="22"/>
  <c r="K35" i="41" s="1"/>
  <c r="K156" i="41" s="1"/>
  <c r="Q103" i="22"/>
  <c r="Q16" i="111" s="1"/>
  <c r="L114" i="22"/>
  <c r="L33" i="41" s="1"/>
  <c r="L154" i="41" s="1"/>
  <c r="K66" i="22"/>
  <c r="K56" i="80" s="1"/>
  <c r="M88" i="22"/>
  <c r="M58" i="80" s="1"/>
  <c r="M103" i="22"/>
  <c r="M32" i="41" s="1"/>
  <c r="M153" i="41" s="1"/>
  <c r="J107" i="73"/>
  <c r="N107" i="73"/>
  <c r="R107" i="73"/>
  <c r="V107" i="73"/>
  <c r="J108" i="73"/>
  <c r="N108" i="73"/>
  <c r="R108" i="73"/>
  <c r="V108" i="73"/>
  <c r="J109" i="73"/>
  <c r="N109" i="73"/>
  <c r="R109" i="73"/>
  <c r="V109" i="73"/>
  <c r="J110" i="73"/>
  <c r="N110" i="73"/>
  <c r="R110" i="73"/>
  <c r="V110" i="73"/>
  <c r="J111" i="73"/>
  <c r="N111" i="73"/>
  <c r="R111" i="73"/>
  <c r="V111" i="73"/>
  <c r="J112" i="73"/>
  <c r="N112" i="73"/>
  <c r="R112" i="73"/>
  <c r="V112" i="73"/>
  <c r="J113" i="73"/>
  <c r="N113" i="73"/>
  <c r="R113" i="73"/>
  <c r="V113" i="73"/>
  <c r="J114" i="73"/>
  <c r="N114" i="73"/>
  <c r="R114" i="73"/>
  <c r="V114" i="73"/>
  <c r="K107" i="73"/>
  <c r="O107" i="73"/>
  <c r="S107" i="73"/>
  <c r="W107" i="73"/>
  <c r="K108" i="73"/>
  <c r="O108" i="73"/>
  <c r="S108" i="73"/>
  <c r="W108" i="73"/>
  <c r="K109" i="73"/>
  <c r="O109" i="73"/>
  <c r="S109" i="73"/>
  <c r="W109" i="73"/>
  <c r="K110" i="73"/>
  <c r="O110" i="73"/>
  <c r="S110" i="73"/>
  <c r="W110" i="73"/>
  <c r="K111" i="73"/>
  <c r="O111" i="73"/>
  <c r="S111" i="73"/>
  <c r="W111" i="73"/>
  <c r="K112" i="73"/>
  <c r="O112" i="73"/>
  <c r="S112" i="73"/>
  <c r="W112" i="73"/>
  <c r="K113" i="73"/>
  <c r="O113" i="73"/>
  <c r="S113" i="73"/>
  <c r="W113" i="73"/>
  <c r="K114" i="73"/>
  <c r="O114" i="73"/>
  <c r="S114" i="73"/>
  <c r="W114"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J69" i="83"/>
  <c r="Q74" i="83"/>
  <c r="M72" i="83"/>
  <c r="M70" i="83"/>
  <c r="T76" i="83"/>
  <c r="T75" i="83"/>
  <c r="Y75" i="83"/>
  <c r="Q72" i="83"/>
  <c r="Y69" i="83"/>
  <c r="L76" i="83"/>
  <c r="X74" i="83"/>
  <c r="X73" i="83"/>
  <c r="X72" i="83"/>
  <c r="X71" i="83"/>
  <c r="X70" i="83"/>
  <c r="X69" i="83"/>
  <c r="U76" i="83"/>
  <c r="Q73" i="83"/>
  <c r="W76" i="83"/>
  <c r="W75" i="83"/>
  <c r="W74" i="83"/>
  <c r="W73" i="83"/>
  <c r="W72" i="83"/>
  <c r="W71" i="83"/>
  <c r="W70" i="83"/>
  <c r="W69" i="83"/>
  <c r="Y76" i="83"/>
  <c r="Y73" i="83"/>
  <c r="U70" i="83"/>
  <c r="N76" i="83"/>
  <c r="N75" i="83"/>
  <c r="N74" i="83"/>
  <c r="N73" i="83"/>
  <c r="N72" i="83"/>
  <c r="N71" i="83"/>
  <c r="N70" i="83"/>
  <c r="N69" i="83"/>
  <c r="M75" i="83"/>
  <c r="Q71" i="83"/>
  <c r="M69" i="83"/>
  <c r="X75" i="83"/>
  <c r="T74" i="83"/>
  <c r="T73" i="83"/>
  <c r="T72" i="83"/>
  <c r="T71" i="83"/>
  <c r="T70" i="83"/>
  <c r="T69" i="83"/>
  <c r="U75" i="83"/>
  <c r="U72" i="83"/>
  <c r="S76" i="83"/>
  <c r="S75" i="83"/>
  <c r="S74" i="83"/>
  <c r="S73" i="83"/>
  <c r="S72" i="83"/>
  <c r="S71" i="83"/>
  <c r="S70" i="83"/>
  <c r="S69" i="83"/>
  <c r="M76" i="83"/>
  <c r="Y72" i="83"/>
  <c r="U69" i="83"/>
  <c r="J76" i="83"/>
  <c r="J75" i="83"/>
  <c r="J74" i="83"/>
  <c r="J73" i="83"/>
  <c r="J72" i="83"/>
  <c r="J71" i="83"/>
  <c r="J70" i="83"/>
  <c r="Y70" i="83"/>
  <c r="P75" i="83"/>
  <c r="P73" i="83"/>
  <c r="P71" i="83"/>
  <c r="P69" i="83"/>
  <c r="U71" i="83"/>
  <c r="O75" i="83"/>
  <c r="O73" i="83"/>
  <c r="O71" i="83"/>
  <c r="O69" i="83"/>
  <c r="Y71" i="83"/>
  <c r="V75" i="83"/>
  <c r="V73" i="83"/>
  <c r="V71" i="83"/>
  <c r="V69" i="83"/>
  <c r="U73" i="83"/>
  <c r="P74" i="83"/>
  <c r="P70" i="83"/>
  <c r="O76" i="83"/>
  <c r="O72" i="83"/>
  <c r="Q75" i="83"/>
  <c r="V74" i="83"/>
  <c r="V70" i="83"/>
  <c r="M73" i="83"/>
  <c r="L74" i="83"/>
  <c r="L70" i="83"/>
  <c r="K76" i="83"/>
  <c r="K72" i="83"/>
  <c r="U74" i="83"/>
  <c r="R74" i="83"/>
  <c r="R70" i="83"/>
  <c r="Q76" i="83"/>
  <c r="Q70" i="83"/>
  <c r="L75" i="83"/>
  <c r="L73" i="83"/>
  <c r="L71" i="83"/>
  <c r="L69" i="83"/>
  <c r="Q69" i="83"/>
  <c r="K75" i="83"/>
  <c r="K73" i="83"/>
  <c r="K71" i="83"/>
  <c r="K69" i="83"/>
  <c r="M71" i="83"/>
  <c r="R75" i="83"/>
  <c r="R73" i="83"/>
  <c r="R71" i="83"/>
  <c r="R69" i="83"/>
  <c r="X76" i="83"/>
  <c r="P72" i="83"/>
  <c r="Y74" i="83"/>
  <c r="O74" i="83"/>
  <c r="O70" i="83"/>
  <c r="V76" i="83"/>
  <c r="V72" i="83"/>
  <c r="P76" i="83"/>
  <c r="L72" i="83"/>
  <c r="M74" i="83"/>
  <c r="K74" i="83"/>
  <c r="K70" i="83"/>
  <c r="R76" i="83"/>
  <c r="R72" i="83"/>
  <c r="J109" i="72"/>
  <c r="U115" i="72"/>
  <c r="M114" i="72"/>
  <c r="Q112" i="72"/>
  <c r="Q110" i="72"/>
  <c r="X116" i="72"/>
  <c r="X115" i="72"/>
  <c r="X114" i="72"/>
  <c r="X113" i="72"/>
  <c r="X112" i="72"/>
  <c r="X111" i="72"/>
  <c r="X110" i="72"/>
  <c r="X109" i="72"/>
  <c r="M115" i="72"/>
  <c r="U112" i="72"/>
  <c r="U110" i="72"/>
  <c r="O116" i="72"/>
  <c r="O115" i="72"/>
  <c r="O114" i="72"/>
  <c r="O113" i="72"/>
  <c r="O112" i="72"/>
  <c r="O111" i="72"/>
  <c r="O110" i="72"/>
  <c r="O109" i="72"/>
  <c r="N116" i="72"/>
  <c r="N115" i="72"/>
  <c r="N114" i="72"/>
  <c r="N113" i="72"/>
  <c r="N112" i="72"/>
  <c r="N111" i="72"/>
  <c r="N110" i="72"/>
  <c r="N109" i="72"/>
  <c r="Y114" i="72"/>
  <c r="Y112" i="72"/>
  <c r="Y109" i="72"/>
  <c r="L116" i="72"/>
  <c r="T114" i="72"/>
  <c r="P113" i="72"/>
  <c r="L112" i="72"/>
  <c r="T110" i="72"/>
  <c r="P109" i="72"/>
  <c r="Q116" i="72"/>
  <c r="Q113" i="72"/>
  <c r="M110" i="72"/>
  <c r="W116" i="72"/>
  <c r="S115" i="72"/>
  <c r="K114" i="72"/>
  <c r="W112" i="72"/>
  <c r="S111" i="72"/>
  <c r="K110" i="72"/>
  <c r="V116" i="72"/>
  <c r="R115" i="72"/>
  <c r="J114" i="72"/>
  <c r="V112" i="72"/>
  <c r="R111" i="72"/>
  <c r="J110" i="72"/>
  <c r="U116" i="72"/>
  <c r="Q114" i="72"/>
  <c r="Y111" i="72"/>
  <c r="U109" i="72"/>
  <c r="T115" i="72"/>
  <c r="P114" i="72"/>
  <c r="L113" i="72"/>
  <c r="T111" i="72"/>
  <c r="P110" i="72"/>
  <c r="L109" i="72"/>
  <c r="Y115" i="72"/>
  <c r="M112" i="72"/>
  <c r="M109" i="72"/>
  <c r="S116" i="72"/>
  <c r="K115" i="72"/>
  <c r="W113" i="72"/>
  <c r="S112" i="72"/>
  <c r="K111" i="72"/>
  <c r="W109" i="72"/>
  <c r="R116" i="72"/>
  <c r="J115" i="72"/>
  <c r="V113" i="72"/>
  <c r="R112" i="72"/>
  <c r="J111" i="72"/>
  <c r="V109" i="72"/>
  <c r="U113" i="72"/>
  <c r="Q109" i="72"/>
  <c r="T116" i="72"/>
  <c r="L114" i="72"/>
  <c r="P111" i="72"/>
  <c r="U111" i="72"/>
  <c r="W114" i="72"/>
  <c r="K112" i="72"/>
  <c r="S109" i="72"/>
  <c r="V114" i="72"/>
  <c r="J112" i="72"/>
  <c r="R109" i="72"/>
  <c r="Q111" i="72"/>
  <c r="P115" i="72"/>
  <c r="L110" i="72"/>
  <c r="U114" i="72"/>
  <c r="S113" i="72"/>
  <c r="J116" i="72"/>
  <c r="V110" i="72"/>
  <c r="Y110" i="72"/>
  <c r="P112" i="72"/>
  <c r="T109" i="72"/>
  <c r="Y113" i="72"/>
  <c r="K113" i="72"/>
  <c r="S110" i="72"/>
  <c r="J113" i="72"/>
  <c r="M113" i="72"/>
  <c r="P116" i="72"/>
  <c r="T113" i="72"/>
  <c r="L111" i="72"/>
  <c r="Y116" i="72"/>
  <c r="M111" i="72"/>
  <c r="S114" i="72"/>
  <c r="W111" i="72"/>
  <c r="K109" i="72"/>
  <c r="R114" i="72"/>
  <c r="V111" i="72"/>
  <c r="M116" i="72"/>
  <c r="T112" i="72"/>
  <c r="K116" i="72"/>
  <c r="W110" i="72"/>
  <c r="R113" i="72"/>
  <c r="Q115" i="72"/>
  <c r="L115" i="72"/>
  <c r="W115" i="72"/>
  <c r="V115" i="72"/>
  <c r="R110" i="72"/>
  <c r="L88" i="22"/>
  <c r="L58" i="80" s="1"/>
  <c r="L103" i="22"/>
  <c r="L32" i="41" s="1"/>
  <c r="L153" i="41" s="1"/>
  <c r="L66" i="22"/>
  <c r="L29" i="41" s="1"/>
  <c r="J103" i="22"/>
  <c r="J16" i="111" s="1"/>
  <c r="J66" i="22"/>
  <c r="J31" i="53" s="1"/>
  <c r="N125" i="22"/>
  <c r="N189" i="80" s="1"/>
  <c r="N136" i="22"/>
  <c r="N35" i="41" s="1"/>
  <c r="N156" i="41" s="1"/>
  <c r="O125" i="22"/>
  <c r="O189" i="80" s="1"/>
  <c r="P136" i="22"/>
  <c r="P35" i="41" s="1"/>
  <c r="P156" i="41" s="1"/>
  <c r="S179" i="31"/>
  <c r="R179" i="31"/>
  <c r="N179" i="31"/>
  <c r="M179" i="31"/>
  <c r="L179" i="31"/>
  <c r="J173" i="31"/>
  <c r="P176" i="31"/>
  <c r="L176" i="31"/>
  <c r="S176" i="31"/>
  <c r="O176" i="31"/>
  <c r="K176" i="31"/>
  <c r="N176" i="31"/>
  <c r="M176" i="31"/>
  <c r="R176" i="31"/>
  <c r="J176" i="31"/>
  <c r="Q176" i="31"/>
  <c r="R177" i="31"/>
  <c r="N177" i="31"/>
  <c r="J177" i="31"/>
  <c r="Q177" i="31"/>
  <c r="M177" i="31"/>
  <c r="L177" i="31"/>
  <c r="S177" i="31"/>
  <c r="K177" i="31"/>
  <c r="P177" i="31"/>
  <c r="O177" i="31"/>
  <c r="R175" i="31"/>
  <c r="P174" i="31"/>
  <c r="L174" i="31"/>
  <c r="S174" i="31"/>
  <c r="O174" i="31"/>
  <c r="K174" i="31"/>
  <c r="R174" i="31"/>
  <c r="J174" i="31"/>
  <c r="Q174" i="31"/>
  <c r="N174" i="31"/>
  <c r="M174" i="31"/>
  <c r="L150" i="31"/>
  <c r="Q150" i="31"/>
  <c r="P178" i="31"/>
  <c r="S178" i="31"/>
  <c r="K178" i="31"/>
  <c r="J178" i="31"/>
  <c r="N178" i="31"/>
  <c r="P172" i="31"/>
  <c r="J150" i="31"/>
  <c r="R150" i="31"/>
  <c r="O150" i="31"/>
  <c r="N150" i="31"/>
  <c r="M150" i="31"/>
  <c r="R129" i="81"/>
  <c r="R55" i="81"/>
  <c r="R56" i="81" s="1"/>
  <c r="R114" i="81" s="1"/>
  <c r="M21" i="31"/>
  <c r="N20" i="31"/>
  <c r="N129" i="81"/>
  <c r="N55" i="81"/>
  <c r="N56" i="81" s="1"/>
  <c r="N114" i="81" s="1"/>
  <c r="P129" i="81"/>
  <c r="P55" i="81"/>
  <c r="P56" i="81" s="1"/>
  <c r="P114" i="81" s="1"/>
  <c r="O129" i="81"/>
  <c r="O55" i="81"/>
  <c r="O56" i="81" s="1"/>
  <c r="O114" i="81" s="1"/>
  <c r="Q55" i="81"/>
  <c r="Q56" i="81" s="1"/>
  <c r="Q114" i="81" s="1"/>
  <c r="Q129" i="81"/>
  <c r="J56" i="80"/>
  <c r="J136" i="22"/>
  <c r="J35" i="41" s="1"/>
  <c r="J156" i="41" s="1"/>
  <c r="O66" i="22"/>
  <c r="K88" i="22"/>
  <c r="J88" i="22"/>
  <c r="L77" i="22"/>
  <c r="M66" i="22"/>
  <c r="N103" i="22"/>
  <c r="J125" i="22"/>
  <c r="P103" i="22"/>
  <c r="Q136" i="22"/>
  <c r="Q35" i="41" s="1"/>
  <c r="Q156" i="41" s="1"/>
  <c r="M136" i="22"/>
  <c r="M35" i="41" s="1"/>
  <c r="M156" i="41" s="1"/>
  <c r="K32" i="53"/>
  <c r="K30" i="41"/>
  <c r="K57" i="80"/>
  <c r="J77" i="22"/>
  <c r="O103" i="22"/>
  <c r="L136" i="22"/>
  <c r="L35" i="41" s="1"/>
  <c r="L156" i="41" s="1"/>
  <c r="M125" i="22"/>
  <c r="K103" i="22"/>
  <c r="N88" i="22"/>
  <c r="Q77" i="22"/>
  <c r="J114" i="22"/>
  <c r="O114" i="22"/>
  <c r="L125" i="22"/>
  <c r="M114" i="22"/>
  <c r="K125" i="22"/>
  <c r="J149" i="31"/>
  <c r="N77" i="22"/>
  <c r="Q88" i="22"/>
  <c r="O88" i="22"/>
  <c r="P114" i="22"/>
  <c r="P66" i="22"/>
  <c r="Q125" i="22"/>
  <c r="R149" i="31"/>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0" i="55"/>
  <c r="S149" i="31"/>
  <c r="P149" i="31"/>
  <c r="O156" i="31"/>
  <c r="J145" i="31"/>
  <c r="O145" i="31"/>
  <c r="Q145" i="31"/>
  <c r="K145" i="31"/>
  <c r="M145" i="31"/>
  <c r="S145" i="31"/>
  <c r="R145" i="31"/>
  <c r="N145" i="31"/>
  <c r="P145" i="31"/>
  <c r="L145" i="31"/>
  <c r="R148" i="31"/>
  <c r="Q157" i="31"/>
  <c r="S157" i="31"/>
  <c r="M157" i="31"/>
  <c r="O157" i="31"/>
  <c r="L157" i="31"/>
  <c r="K157" i="31"/>
  <c r="P157" i="31"/>
  <c r="J157" i="31"/>
  <c r="R157" i="31"/>
  <c r="N157" i="31"/>
  <c r="P158" i="31"/>
  <c r="L158" i="31"/>
  <c r="N158" i="31"/>
  <c r="S158" i="31"/>
  <c r="J158" i="31"/>
  <c r="Q158" i="31"/>
  <c r="R158" i="31"/>
  <c r="M158" i="31"/>
  <c r="O158" i="31"/>
  <c r="K158" i="31"/>
  <c r="S151" i="31"/>
  <c r="Q151" i="31"/>
  <c r="O151" i="31"/>
  <c r="M151" i="31"/>
  <c r="K151" i="31"/>
  <c r="L151" i="31"/>
  <c r="R151" i="31"/>
  <c r="P151" i="31"/>
  <c r="J151" i="31"/>
  <c r="N151" i="31"/>
  <c r="Q160" i="31"/>
  <c r="S160" i="31"/>
  <c r="J160" i="31"/>
  <c r="R160" i="31"/>
  <c r="M160" i="31"/>
  <c r="O160" i="31"/>
  <c r="L160" i="31"/>
  <c r="N160" i="31"/>
  <c r="K160" i="31"/>
  <c r="P160" i="31"/>
  <c r="N146" i="31"/>
  <c r="S146" i="31"/>
  <c r="O146" i="31"/>
  <c r="Q146" i="31"/>
  <c r="L146" i="31"/>
  <c r="R146" i="31"/>
  <c r="M146" i="31"/>
  <c r="P146" i="31"/>
  <c r="K146" i="31"/>
  <c r="J146" i="31"/>
  <c r="S147" i="31"/>
  <c r="R147" i="31"/>
  <c r="K147" i="31"/>
  <c r="P159" i="31"/>
  <c r="O159" i="31"/>
  <c r="J159" i="31"/>
  <c r="Q159" i="31"/>
  <c r="K159" i="31"/>
  <c r="M159" i="31"/>
  <c r="S159" i="31"/>
  <c r="N159" i="31"/>
  <c r="R159" i="31"/>
  <c r="L159" i="31"/>
  <c r="S155" i="31"/>
  <c r="J155" i="31"/>
  <c r="O155" i="31"/>
  <c r="Q155" i="31"/>
  <c r="K155" i="31"/>
  <c r="M155" i="31"/>
  <c r="N155" i="31"/>
  <c r="L155" i="31"/>
  <c r="R155" i="31"/>
  <c r="P155" i="31"/>
  <c r="M152" i="31"/>
  <c r="O152" i="31" l="1"/>
  <c r="O173" i="31"/>
  <c r="P148" i="31"/>
  <c r="M178" i="31"/>
  <c r="Q178" i="31"/>
  <c r="R178" i="31"/>
  <c r="O178" i="31"/>
  <c r="S175" i="31"/>
  <c r="Q152" i="31"/>
  <c r="P152" i="31"/>
  <c r="P34" i="41"/>
  <c r="P155" i="41" s="1"/>
  <c r="J152" i="31"/>
  <c r="S152" i="31"/>
  <c r="L148" i="31"/>
  <c r="R154" i="31"/>
  <c r="K173" i="31"/>
  <c r="N173" i="31"/>
  <c r="O154" i="31"/>
  <c r="K152" i="31"/>
  <c r="K148" i="31"/>
  <c r="Q148" i="31"/>
  <c r="L149" i="31"/>
  <c r="O149" i="31"/>
  <c r="Q173" i="31"/>
  <c r="R152" i="31"/>
  <c r="N148" i="31"/>
  <c r="M149" i="31"/>
  <c r="M154" i="31"/>
  <c r="N154" i="31"/>
  <c r="L173" i="31"/>
  <c r="M148" i="31"/>
  <c r="K154" i="31"/>
  <c r="P154" i="31"/>
  <c r="P173" i="31"/>
  <c r="R173" i="31"/>
  <c r="N152" i="31"/>
  <c r="J148" i="31"/>
  <c r="N149" i="31"/>
  <c r="S173" i="31"/>
  <c r="O148" i="31"/>
  <c r="S154" i="31"/>
  <c r="K149" i="31"/>
  <c r="M173" i="31"/>
  <c r="O57" i="80"/>
  <c r="K29" i="41"/>
  <c r="N147" i="31"/>
  <c r="K153" i="31"/>
  <c r="S172" i="31"/>
  <c r="P179" i="31"/>
  <c r="K179" i="31"/>
  <c r="P147" i="31"/>
  <c r="Q147" i="31"/>
  <c r="M147" i="31"/>
  <c r="J147" i="31"/>
  <c r="L147" i="31"/>
  <c r="P153" i="31"/>
  <c r="Q172" i="31"/>
  <c r="J179" i="31"/>
  <c r="Q179" i="31"/>
  <c r="J156" i="31"/>
  <c r="L175" i="31"/>
  <c r="L156" i="31"/>
  <c r="O175" i="31"/>
  <c r="P156" i="31"/>
  <c r="P175" i="31"/>
  <c r="R156" i="31"/>
  <c r="M175" i="31"/>
  <c r="M156" i="31"/>
  <c r="Q175" i="31"/>
  <c r="N156" i="31"/>
  <c r="K156" i="31"/>
  <c r="J175" i="31"/>
  <c r="S156" i="31"/>
  <c r="Q156" i="31"/>
  <c r="Q18" i="74"/>
  <c r="K175" i="31"/>
  <c r="O153" i="31"/>
  <c r="L153" i="31"/>
  <c r="R153" i="31"/>
  <c r="J172" i="31"/>
  <c r="M172" i="31"/>
  <c r="Q153" i="31"/>
  <c r="N153" i="31"/>
  <c r="M153" i="31"/>
  <c r="O172" i="31"/>
  <c r="R172" i="31"/>
  <c r="J153" i="31"/>
  <c r="S153" i="31"/>
  <c r="N172" i="31"/>
  <c r="K172" i="31"/>
  <c r="Q154" i="31"/>
  <c r="L154" i="31"/>
  <c r="N188" i="80"/>
  <c r="N191" i="80" s="1"/>
  <c r="N192" i="80" s="1"/>
  <c r="P33" i="53"/>
  <c r="M33" i="53"/>
  <c r="K33" i="41"/>
  <c r="K154" i="41" s="1"/>
  <c r="P58" i="80"/>
  <c r="M32" i="53"/>
  <c r="N56" i="80"/>
  <c r="N31" i="53"/>
  <c r="L31" i="53"/>
  <c r="Q56" i="80"/>
  <c r="L16" i="111"/>
  <c r="L27" i="111" s="1"/>
  <c r="L33" i="111" s="1"/>
  <c r="J53" i="55"/>
  <c r="L56" i="80"/>
  <c r="M31" i="41"/>
  <c r="M84" i="41" s="1"/>
  <c r="AS103" i="41" s="1"/>
  <c r="Q33" i="41"/>
  <c r="Q154" i="41" s="1"/>
  <c r="L33" i="53"/>
  <c r="L188" i="80"/>
  <c r="L31" i="41"/>
  <c r="L84" i="41" s="1"/>
  <c r="AR103" i="41" s="1"/>
  <c r="J29" i="41"/>
  <c r="J82" i="41" s="1"/>
  <c r="J103" i="41" s="1"/>
  <c r="Q29" i="41"/>
  <c r="Q82" i="41" s="1"/>
  <c r="Q103" i="41" s="1"/>
  <c r="O32" i="53"/>
  <c r="L18" i="74"/>
  <c r="N34" i="41"/>
  <c r="N155" i="41" s="1"/>
  <c r="K31" i="53"/>
  <c r="P57" i="80"/>
  <c r="J32" i="41"/>
  <c r="J153" i="41" s="1"/>
  <c r="M16" i="111"/>
  <c r="M28" i="111" s="1"/>
  <c r="M34" i="111" s="1"/>
  <c r="P32" i="53"/>
  <c r="P92" i="22"/>
  <c r="P17" i="111" s="1"/>
  <c r="M57" i="80"/>
  <c r="J18" i="74"/>
  <c r="M18" i="74"/>
  <c r="Q32" i="41"/>
  <c r="Q153" i="41" s="1"/>
  <c r="O34" i="41"/>
  <c r="O155" i="41" s="1"/>
  <c r="H129" i="81"/>
  <c r="N21" i="31"/>
  <c r="N23" i="31" s="1"/>
  <c r="O20" i="31"/>
  <c r="H20" i="83" a="1"/>
  <c r="H51" i="72" a="1"/>
  <c r="H53" i="73" a="1"/>
  <c r="M23" i="31"/>
  <c r="P22" i="31"/>
  <c r="P23" i="31" s="1"/>
  <c r="P188" i="80"/>
  <c r="P191" i="80" s="1"/>
  <c r="P192" i="80" s="1"/>
  <c r="P33" i="41"/>
  <c r="P154" i="41" s="1"/>
  <c r="L34" i="41"/>
  <c r="L155" i="41" s="1"/>
  <c r="L189" i="80"/>
  <c r="N58" i="80"/>
  <c r="N31" i="41"/>
  <c r="N33" i="53"/>
  <c r="N92" i="22"/>
  <c r="N17" i="111" s="1"/>
  <c r="O32" i="41"/>
  <c r="O153" i="41" s="1"/>
  <c r="O18" i="74"/>
  <c r="O16" i="111"/>
  <c r="J34" i="41"/>
  <c r="J155" i="41" s="1"/>
  <c r="J189" i="80"/>
  <c r="M56" i="80"/>
  <c r="M31" i="53"/>
  <c r="M29" i="41"/>
  <c r="M82" i="41" s="1"/>
  <c r="M103" i="41" s="1"/>
  <c r="L57" i="80"/>
  <c r="L59" i="80" s="1"/>
  <c r="L200" i="80" s="1"/>
  <c r="L30" i="41"/>
  <c r="L32" i="53"/>
  <c r="O31" i="53"/>
  <c r="O29" i="41"/>
  <c r="O56" i="80"/>
  <c r="O92" i="22"/>
  <c r="O17" i="111" s="1"/>
  <c r="O31" i="41"/>
  <c r="O58" i="80"/>
  <c r="O33" i="53"/>
  <c r="Q58" i="80"/>
  <c r="Q31" i="41"/>
  <c r="Q33" i="53"/>
  <c r="Q92" i="22"/>
  <c r="Q17" i="111" s="1"/>
  <c r="Q29" i="111" s="1"/>
  <c r="O33" i="41"/>
  <c r="O154" i="41" s="1"/>
  <c r="O188" i="80"/>
  <c r="O191" i="80" s="1"/>
  <c r="O192" i="80" s="1"/>
  <c r="K32" i="41"/>
  <c r="K153" i="41" s="1"/>
  <c r="K16" i="111"/>
  <c r="K18" i="74"/>
  <c r="J32" i="53"/>
  <c r="J30" i="41"/>
  <c r="J57" i="80"/>
  <c r="N32" i="41"/>
  <c r="N153" i="41" s="1"/>
  <c r="N18" i="74"/>
  <c r="N16" i="111"/>
  <c r="Q34" i="41"/>
  <c r="Q155" i="41" s="1"/>
  <c r="Q189" i="80"/>
  <c r="Q191" i="80" s="1"/>
  <c r="Q192" i="80" s="1"/>
  <c r="J28" i="111"/>
  <c r="J34" i="111" s="1"/>
  <c r="J27" i="111"/>
  <c r="J33" i="111" s="1"/>
  <c r="N32" i="53"/>
  <c r="N57" i="80"/>
  <c r="N30" i="41"/>
  <c r="K189" i="80"/>
  <c r="K191" i="80" s="1"/>
  <c r="K192" i="80" s="1"/>
  <c r="K34" i="41"/>
  <c r="K155" i="41" s="1"/>
  <c r="J188" i="80"/>
  <c r="J33" i="41"/>
  <c r="J154" i="41" s="1"/>
  <c r="M34" i="41"/>
  <c r="M155" i="41" s="1"/>
  <c r="M189" i="80"/>
  <c r="M92" i="22"/>
  <c r="M17" i="111" s="1"/>
  <c r="J33" i="53"/>
  <c r="J58" i="80"/>
  <c r="J31" i="41"/>
  <c r="J92" i="22"/>
  <c r="J17" i="111" s="1"/>
  <c r="Q28" i="111"/>
  <c r="Q34" i="111" s="1"/>
  <c r="Q27" i="111"/>
  <c r="P29" i="41"/>
  <c r="P56" i="80"/>
  <c r="P31" i="53"/>
  <c r="M33" i="41"/>
  <c r="M154" i="41" s="1"/>
  <c r="M188" i="80"/>
  <c r="Q32" i="53"/>
  <c r="Q30" i="41"/>
  <c r="Q57" i="80"/>
  <c r="P18" i="74"/>
  <c r="P32" i="41"/>
  <c r="P153" i="41" s="1"/>
  <c r="P16" i="111"/>
  <c r="K92" i="22"/>
  <c r="K17" i="111" s="1"/>
  <c r="K58" i="80"/>
  <c r="K59" i="80" s="1"/>
  <c r="K31" i="41"/>
  <c r="K33" i="53"/>
  <c r="L92"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M83" i="41"/>
  <c r="AC103" i="41" s="1"/>
  <c r="N82" i="41"/>
  <c r="N103" i="41" s="1"/>
  <c r="K83" i="41"/>
  <c r="AA103" i="41" s="1"/>
  <c r="J34" i="80" l="1" a="1"/>
  <c r="U34" i="80" s="1"/>
  <c r="U105" i="80" s="1"/>
  <c r="R93" i="72" a="1"/>
  <c r="J55" i="83" a="1"/>
  <c r="L58" i="83" s="1"/>
  <c r="J80" i="73" a="1"/>
  <c r="J82" i="73" s="1"/>
  <c r="L28" i="111"/>
  <c r="L34" i="111" s="1"/>
  <c r="K200" i="80"/>
  <c r="K20" i="74" s="1"/>
  <c r="K34" i="53"/>
  <c r="L191" i="80"/>
  <c r="L192" i="80" s="1"/>
  <c r="P59" i="80"/>
  <c r="P200" i="80" s="1"/>
  <c r="P20" i="74" s="1"/>
  <c r="L34" i="53"/>
  <c r="J83" i="41"/>
  <c r="Z103" i="41" s="1"/>
  <c r="M59" i="80"/>
  <c r="N129" i="74"/>
  <c r="N133" i="74" s="1"/>
  <c r="N84" i="41"/>
  <c r="AT103" i="41" s="1"/>
  <c r="M27" i="111"/>
  <c r="M33" i="111" s="1"/>
  <c r="J84" i="41"/>
  <c r="AP103" i="41" s="1"/>
  <c r="M129" i="74"/>
  <c r="M132" i="74" s="1"/>
  <c r="Q83" i="41"/>
  <c r="AG103" i="41" s="1"/>
  <c r="Q34" i="80"/>
  <c r="M35" i="80"/>
  <c r="Q35" i="80"/>
  <c r="U35" i="80"/>
  <c r="Y35" i="80"/>
  <c r="U36" i="80"/>
  <c r="U130" i="80" s="1"/>
  <c r="M37" i="80"/>
  <c r="Q37" i="80"/>
  <c r="U37" i="80"/>
  <c r="U131" i="80" s="1"/>
  <c r="Y37" i="80"/>
  <c r="U38" i="80"/>
  <c r="U86" i="80" s="1"/>
  <c r="M39" i="80"/>
  <c r="Q39" i="80"/>
  <c r="U39" i="80"/>
  <c r="U87" i="80" s="1"/>
  <c r="M40" i="80"/>
  <c r="U40" i="80"/>
  <c r="U88" i="80" s="1"/>
  <c r="M41" i="80"/>
  <c r="Q41" i="80"/>
  <c r="Y41" i="80"/>
  <c r="M42" i="80"/>
  <c r="U42" i="80"/>
  <c r="U113" i="80" s="1"/>
  <c r="J34" i="80"/>
  <c r="R34" i="80"/>
  <c r="V34" i="80"/>
  <c r="J35" i="80"/>
  <c r="R35" i="80"/>
  <c r="N36" i="80"/>
  <c r="R36" i="80"/>
  <c r="V36" i="80"/>
  <c r="J37" i="80"/>
  <c r="R37" i="80"/>
  <c r="N38" i="80"/>
  <c r="R38" i="80"/>
  <c r="V38" i="80"/>
  <c r="J39" i="80"/>
  <c r="V39" i="80"/>
  <c r="N40" i="80"/>
  <c r="R40" i="80"/>
  <c r="V40" i="80"/>
  <c r="J41" i="80"/>
  <c r="V41" i="80"/>
  <c r="N42" i="80"/>
  <c r="N202" i="80" s="1"/>
  <c r="R42" i="80"/>
  <c r="V42" i="80"/>
  <c r="O34" i="80"/>
  <c r="W34" i="80"/>
  <c r="O35" i="80"/>
  <c r="S35" i="80"/>
  <c r="K36" i="80"/>
  <c r="O36" i="80"/>
  <c r="W36" i="80"/>
  <c r="O37" i="80"/>
  <c r="W37" i="80"/>
  <c r="W131" i="80" s="1"/>
  <c r="K38" i="80"/>
  <c r="O38" i="80"/>
  <c r="W38" i="80"/>
  <c r="W132" i="80" s="1"/>
  <c r="S39" i="80"/>
  <c r="W39" i="80"/>
  <c r="K40" i="80"/>
  <c r="O40" i="80"/>
  <c r="W40" i="80"/>
  <c r="W111" i="80" s="1"/>
  <c r="S41" i="80"/>
  <c r="W41" i="80"/>
  <c r="W135" i="80" s="1"/>
  <c r="K42" i="80"/>
  <c r="K202" i="80" s="1"/>
  <c r="K206" i="80" s="1"/>
  <c r="O42" i="80"/>
  <c r="O202" i="80" s="1"/>
  <c r="L34" i="80"/>
  <c r="T34" i="80"/>
  <c r="T35" i="80"/>
  <c r="T36" i="80"/>
  <c r="T37" i="80"/>
  <c r="T40" i="80"/>
  <c r="T42" i="80"/>
  <c r="X34" i="80"/>
  <c r="X35" i="80"/>
  <c r="X37" i="80"/>
  <c r="X85" i="80" s="1"/>
  <c r="X39" i="80"/>
  <c r="X41" i="80"/>
  <c r="X42" i="80"/>
  <c r="L36" i="80"/>
  <c r="L37" i="80"/>
  <c r="L39" i="80"/>
  <c r="L41" i="80"/>
  <c r="P35" i="80"/>
  <c r="P36" i="80"/>
  <c r="P37" i="80"/>
  <c r="P39" i="80"/>
  <c r="P42" i="80"/>
  <c r="Q33" i="111"/>
  <c r="N83" i="41"/>
  <c r="AD103" i="41" s="1"/>
  <c r="Q59" i="80"/>
  <c r="Q200" i="80" s="1"/>
  <c r="Q20" i="74" s="1"/>
  <c r="Q84" i="41"/>
  <c r="AW103" i="41" s="1"/>
  <c r="J59" i="80"/>
  <c r="J200" i="80" s="1"/>
  <c r="L59" i="83"/>
  <c r="L56" i="83"/>
  <c r="L124" i="83" s="1"/>
  <c r="L55" i="83"/>
  <c r="L123" i="83" s="1"/>
  <c r="K63" i="83"/>
  <c r="K61" i="83"/>
  <c r="K59" i="83"/>
  <c r="K58" i="83"/>
  <c r="K57" i="83"/>
  <c r="K55" i="83"/>
  <c r="K123" i="83" s="1"/>
  <c r="J64" i="83"/>
  <c r="J61" i="83"/>
  <c r="J60" i="83"/>
  <c r="J59" i="83"/>
  <c r="J57" i="83"/>
  <c r="J56" i="83"/>
  <c r="J124" i="83" s="1"/>
  <c r="J55" i="83"/>
  <c r="J123" i="83" s="1"/>
  <c r="M62" i="83"/>
  <c r="M61" i="83"/>
  <c r="M59" i="83"/>
  <c r="M58" i="83"/>
  <c r="M57" i="83"/>
  <c r="X64" i="83"/>
  <c r="X62" i="83"/>
  <c r="X60" i="83"/>
  <c r="X59" i="83"/>
  <c r="X58" i="83"/>
  <c r="X56" i="83"/>
  <c r="X55" i="83"/>
  <c r="W62" i="83"/>
  <c r="W61" i="83"/>
  <c r="W60" i="83"/>
  <c r="W58" i="83"/>
  <c r="W57" i="83"/>
  <c r="W56" i="83"/>
  <c r="V63" i="83"/>
  <c r="V62" i="83"/>
  <c r="V60" i="83"/>
  <c r="V59" i="83"/>
  <c r="V58" i="83"/>
  <c r="V56" i="83"/>
  <c r="V124" i="83" s="1"/>
  <c r="Y64" i="83"/>
  <c r="Y62" i="83"/>
  <c r="Y61" i="83"/>
  <c r="Y60" i="83"/>
  <c r="Y58" i="83"/>
  <c r="Y57" i="83"/>
  <c r="T64" i="83"/>
  <c r="T62" i="83"/>
  <c r="T60" i="83"/>
  <c r="T56" i="83"/>
  <c r="T124" i="83" s="1"/>
  <c r="S64" i="83"/>
  <c r="S62" i="83"/>
  <c r="S56" i="83"/>
  <c r="S124" i="83" s="1"/>
  <c r="R63" i="83"/>
  <c r="R59" i="83"/>
  <c r="R57" i="83"/>
  <c r="R55" i="83"/>
  <c r="R123" i="83" s="1"/>
  <c r="U62" i="83"/>
  <c r="U58" i="83"/>
  <c r="T61" i="83"/>
  <c r="T57" i="83"/>
  <c r="S63" i="83"/>
  <c r="S55" i="83"/>
  <c r="S123" i="83" s="1"/>
  <c r="R62" i="83"/>
  <c r="U59" i="83"/>
  <c r="U55" i="83"/>
  <c r="U152" i="83" s="1"/>
  <c r="U22" i="71" s="1"/>
  <c r="P61" i="83"/>
  <c r="P55" i="83"/>
  <c r="P123" i="83" s="1"/>
  <c r="O61" i="83"/>
  <c r="O57" i="83"/>
  <c r="Q63" i="83"/>
  <c r="Q59" i="83"/>
  <c r="P64" i="83"/>
  <c r="P62" i="83"/>
  <c r="P60" i="83"/>
  <c r="P56" i="83"/>
  <c r="P124" i="83" s="1"/>
  <c r="O62" i="83"/>
  <c r="O58" i="83"/>
  <c r="O56" i="83"/>
  <c r="O124" i="83" s="1"/>
  <c r="N63" i="83"/>
  <c r="N59" i="83"/>
  <c r="N57" i="83"/>
  <c r="Q62" i="83"/>
  <c r="Q60" i="83"/>
  <c r="Q58" i="83"/>
  <c r="Q56" i="83"/>
  <c r="Q124" i="83" s="1"/>
  <c r="T63" i="83"/>
  <c r="T59" i="83"/>
  <c r="S61" i="83"/>
  <c r="S57" i="83"/>
  <c r="R64" i="83"/>
  <c r="R60" i="83"/>
  <c r="R56" i="83"/>
  <c r="R124" i="83" s="1"/>
  <c r="U61" i="83"/>
  <c r="P63" i="83"/>
  <c r="P57" i="83"/>
  <c r="O63" i="83"/>
  <c r="O59" i="83"/>
  <c r="O55" i="83"/>
  <c r="O123" i="83" s="1"/>
  <c r="N64" i="83"/>
  <c r="N56" i="83"/>
  <c r="N124" i="83" s="1"/>
  <c r="Q61" i="83"/>
  <c r="Q55" i="83"/>
  <c r="Q123" i="83" s="1"/>
  <c r="R93" i="72"/>
  <c r="U98" i="72"/>
  <c r="U100" i="72"/>
  <c r="U102" i="72"/>
  <c r="U99" i="72"/>
  <c r="Y101" i="72"/>
  <c r="U97" i="72"/>
  <c r="Y99" i="72"/>
  <c r="Y102" i="72"/>
  <c r="Y97" i="72"/>
  <c r="Y100" i="72"/>
  <c r="Y98" i="72"/>
  <c r="U101" i="72"/>
  <c r="Y95" i="72"/>
  <c r="X101" i="72"/>
  <c r="T98" i="72"/>
  <c r="T94" i="72"/>
  <c r="W102" i="72"/>
  <c r="W100" i="72"/>
  <c r="W98" i="72"/>
  <c r="W96" i="72"/>
  <c r="W94" i="72"/>
  <c r="U96" i="72"/>
  <c r="T102" i="72"/>
  <c r="X97" i="72"/>
  <c r="X93" i="72"/>
  <c r="R102" i="72"/>
  <c r="R100" i="72"/>
  <c r="R98" i="72"/>
  <c r="R96" i="72"/>
  <c r="R94" i="72"/>
  <c r="Y93" i="72"/>
  <c r="T99" i="72"/>
  <c r="T93" i="72"/>
  <c r="W101" i="72"/>
  <c r="S99" i="72"/>
  <c r="S96" i="72"/>
  <c r="W93" i="72"/>
  <c r="U93" i="72"/>
  <c r="X96" i="72"/>
  <c r="R101" i="72"/>
  <c r="V98" i="72"/>
  <c r="V95" i="72"/>
  <c r="Y96" i="72"/>
  <c r="X102" i="72"/>
  <c r="T97" i="72"/>
  <c r="S101" i="72"/>
  <c r="S98" i="72"/>
  <c r="W95" i="72"/>
  <c r="S93" i="72"/>
  <c r="X100" i="72"/>
  <c r="X95" i="72"/>
  <c r="V100" i="72"/>
  <c r="V97" i="72"/>
  <c r="R95" i="72"/>
  <c r="T96" i="72"/>
  <c r="W97" i="72"/>
  <c r="U95" i="72"/>
  <c r="X94" i="72"/>
  <c r="V99" i="72"/>
  <c r="V94" i="72"/>
  <c r="T101" i="72"/>
  <c r="S100" i="72"/>
  <c r="R97" i="72"/>
  <c r="T100" i="72"/>
  <c r="S94" i="72"/>
  <c r="V96" i="72"/>
  <c r="Y94" i="72"/>
  <c r="T95" i="72"/>
  <c r="S102" i="72"/>
  <c r="S97" i="72"/>
  <c r="U94" i="72"/>
  <c r="R99" i="72"/>
  <c r="V93" i="72"/>
  <c r="S95" i="72"/>
  <c r="X99" i="72"/>
  <c r="V102" i="72"/>
  <c r="W99" i="72"/>
  <c r="X98" i="72"/>
  <c r="V101" i="72"/>
  <c r="J86" i="73"/>
  <c r="J87" i="73"/>
  <c r="R81" i="73"/>
  <c r="R83" i="73"/>
  <c r="V83" i="73"/>
  <c r="N85" i="73"/>
  <c r="N84" i="73"/>
  <c r="R85" i="73"/>
  <c r="V86" i="73"/>
  <c r="V85" i="73"/>
  <c r="N87" i="73"/>
  <c r="R88" i="73"/>
  <c r="M88" i="73"/>
  <c r="M87" i="73"/>
  <c r="M86" i="73"/>
  <c r="Y87" i="73"/>
  <c r="Y86" i="73"/>
  <c r="Y85" i="73"/>
  <c r="Y80" i="73"/>
  <c r="W89" i="73"/>
  <c r="W88" i="73"/>
  <c r="W83" i="73"/>
  <c r="W82" i="73"/>
  <c r="W81" i="73"/>
  <c r="X86" i="73"/>
  <c r="X85" i="73"/>
  <c r="X84" i="73"/>
  <c r="R80" i="73"/>
  <c r="U88" i="73"/>
  <c r="U86" i="73"/>
  <c r="O89" i="73"/>
  <c r="K88" i="73"/>
  <c r="S86" i="73"/>
  <c r="K80" i="73"/>
  <c r="T88" i="73"/>
  <c r="P87" i="73"/>
  <c r="T80" i="73"/>
  <c r="U87" i="73"/>
  <c r="M84" i="73"/>
  <c r="S80" i="73"/>
  <c r="L88" i="73"/>
  <c r="P85" i="73"/>
  <c r="Q84" i="73"/>
  <c r="M83" i="73"/>
  <c r="U81" i="73"/>
  <c r="K85" i="73"/>
  <c r="S83" i="73"/>
  <c r="O82" i="73"/>
  <c r="T85" i="73"/>
  <c r="P84" i="73"/>
  <c r="L83" i="73"/>
  <c r="U82" i="73"/>
  <c r="M80" i="73"/>
  <c r="O87" i="73"/>
  <c r="L84" i="73"/>
  <c r="P81" i="73"/>
  <c r="Q89" i="73"/>
  <c r="L81" i="73"/>
  <c r="Q85" i="73"/>
  <c r="O84" i="73"/>
  <c r="T87" i="73"/>
  <c r="P82" i="73"/>
  <c r="Q87" i="73"/>
  <c r="S89" i="73"/>
  <c r="O88" i="73"/>
  <c r="O59" i="80"/>
  <c r="O200" i="80" s="1"/>
  <c r="O20" i="74" s="1"/>
  <c r="N59" i="80"/>
  <c r="H56" i="73"/>
  <c r="H53" i="73"/>
  <c r="H55" i="73"/>
  <c r="H59" i="73"/>
  <c r="H58" i="73"/>
  <c r="H60" i="73"/>
  <c r="H54" i="73"/>
  <c r="H57" i="73"/>
  <c r="H56" i="72"/>
  <c r="H55" i="72"/>
  <c r="H51" i="72"/>
  <c r="H53" i="72"/>
  <c r="H58" i="72"/>
  <c r="H52" i="72"/>
  <c r="H54" i="72"/>
  <c r="H57" i="72"/>
  <c r="H22" i="83"/>
  <c r="H23" i="83"/>
  <c r="H27" i="83"/>
  <c r="H26" i="83"/>
  <c r="H21" i="83"/>
  <c r="H25" i="83"/>
  <c r="H20" i="83"/>
  <c r="H24" i="83"/>
  <c r="P20" i="31"/>
  <c r="O21" i="31"/>
  <c r="O23" i="31" s="1"/>
  <c r="K255" i="80"/>
  <c r="K258" i="80"/>
  <c r="K252" i="80"/>
  <c r="K259" i="80"/>
  <c r="K257" i="80"/>
  <c r="K253" i="80"/>
  <c r="K256" i="80"/>
  <c r="K254" i="80"/>
  <c r="P27" i="111"/>
  <c r="P33" i="111" s="1"/>
  <c r="P28" i="111"/>
  <c r="P34" i="111" s="1"/>
  <c r="P34" i="53"/>
  <c r="J34" i="53"/>
  <c r="L20" i="74"/>
  <c r="N28" i="111"/>
  <c r="N34" i="111" s="1"/>
  <c r="N27" i="111"/>
  <c r="N33" i="111" s="1"/>
  <c r="K28" i="111"/>
  <c r="K34" i="111" s="1"/>
  <c r="K27" i="111"/>
  <c r="K33" i="111" s="1"/>
  <c r="O34" i="53"/>
  <c r="O27" i="111"/>
  <c r="O33" i="111" s="1"/>
  <c r="O28" i="111"/>
  <c r="O34" i="111" s="1"/>
  <c r="N34" i="53"/>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T113" i="80" s="1"/>
  <c r="Y84" i="83"/>
  <c r="Y72" i="80"/>
  <c r="Y102" i="83"/>
  <c r="Y101" i="80"/>
  <c r="Y112" i="83"/>
  <c r="Y122" i="80"/>
  <c r="Y106" i="83"/>
  <c r="Y105" i="83"/>
  <c r="Y116" i="80"/>
  <c r="Y88" i="83"/>
  <c r="Y76" i="80"/>
  <c r="Y108" i="83"/>
  <c r="Y118" i="80"/>
  <c r="Y95" i="83"/>
  <c r="Y94" i="80"/>
  <c r="P129" i="74"/>
  <c r="O129" i="74"/>
  <c r="L83" i="41"/>
  <c r="AB103" i="41" s="1"/>
  <c r="P84" i="41"/>
  <c r="AV103" i="41" s="1"/>
  <c r="K129" i="74"/>
  <c r="P83" i="41"/>
  <c r="AF103" i="41" s="1"/>
  <c r="L82" i="41"/>
  <c r="L103" i="41" s="1"/>
  <c r="K84" i="41"/>
  <c r="AQ103" i="41" s="1"/>
  <c r="K82" i="41"/>
  <c r="K103" i="41" s="1"/>
  <c r="T129" i="74"/>
  <c r="Q129" i="74"/>
  <c r="U129" i="74"/>
  <c r="X129" i="74"/>
  <c r="W129" i="74"/>
  <c r="V129" i="74"/>
  <c r="S129" i="74"/>
  <c r="Y129" i="74"/>
  <c r="R129" i="74"/>
  <c r="J129" i="74"/>
  <c r="O84" i="41"/>
  <c r="AU103" i="41" s="1"/>
  <c r="L129" i="74"/>
  <c r="S56" i="41"/>
  <c r="O83" i="41"/>
  <c r="AE103" i="41" s="1"/>
  <c r="P82" i="41"/>
  <c r="P103" i="41" s="1"/>
  <c r="O82" i="41"/>
  <c r="O103" i="41" s="1"/>
  <c r="H140" i="22" a="1"/>
  <c r="H140" i="22" s="1"/>
  <c r="L61" i="83" l="1"/>
  <c r="P40" i="80"/>
  <c r="L40" i="80"/>
  <c r="X40" i="80"/>
  <c r="T41" i="80"/>
  <c r="P34" i="80"/>
  <c r="O41" i="80"/>
  <c r="K39" i="80"/>
  <c r="K37" i="80"/>
  <c r="K35" i="80"/>
  <c r="J42" i="80"/>
  <c r="J40" i="80"/>
  <c r="J38" i="80"/>
  <c r="V35" i="80"/>
  <c r="Y42" i="80"/>
  <c r="Y40" i="80"/>
  <c r="Y38" i="80"/>
  <c r="Y36" i="80"/>
  <c r="Y34" i="80"/>
  <c r="P38" i="80"/>
  <c r="L38" i="80"/>
  <c r="X38" i="80"/>
  <c r="X132" i="80" s="1"/>
  <c r="T39" i="80"/>
  <c r="S42" i="80"/>
  <c r="S40" i="80"/>
  <c r="S38" i="80"/>
  <c r="S36" i="80"/>
  <c r="S34" i="80"/>
  <c r="R41" i="80"/>
  <c r="N39" i="80"/>
  <c r="N37" i="80"/>
  <c r="N35" i="80"/>
  <c r="Q42" i="80"/>
  <c r="Q202" i="80" s="1"/>
  <c r="Q40" i="80"/>
  <c r="Q38" i="80"/>
  <c r="M36" i="80"/>
  <c r="M34" i="80"/>
  <c r="L62" i="83"/>
  <c r="K83" i="73"/>
  <c r="U85" i="73"/>
  <c r="Q86" i="73"/>
  <c r="O81" i="73"/>
  <c r="X87" i="73"/>
  <c r="N82" i="73"/>
  <c r="T128" i="80"/>
  <c r="M81" i="73"/>
  <c r="L89" i="73"/>
  <c r="Q82" i="73"/>
  <c r="S84" i="73"/>
  <c r="T81" i="73"/>
  <c r="K81" i="73"/>
  <c r="Q80" i="73"/>
  <c r="T82" i="73"/>
  <c r="Q81" i="73"/>
  <c r="L86" i="73"/>
  <c r="O85" i="73"/>
  <c r="U84" i="73"/>
  <c r="X83" i="73"/>
  <c r="W80" i="73"/>
  <c r="W87" i="73"/>
  <c r="Y84" i="73"/>
  <c r="M85" i="73"/>
  <c r="V89" i="73"/>
  <c r="N88" i="73"/>
  <c r="R86" i="73"/>
  <c r="V84" i="73"/>
  <c r="J88" i="73"/>
  <c r="L80" i="73"/>
  <c r="N60" i="83"/>
  <c r="U57" i="83"/>
  <c r="U125" i="83" s="1"/>
  <c r="T55" i="83"/>
  <c r="T123" i="83" s="1"/>
  <c r="N55" i="83"/>
  <c r="N123" i="83" s="1"/>
  <c r="O64" i="83"/>
  <c r="N58" i="83"/>
  <c r="R58" i="83"/>
  <c r="U60" i="83"/>
  <c r="S58" i="83"/>
  <c r="Y56" i="83"/>
  <c r="Y124" i="83" s="1"/>
  <c r="V55" i="83"/>
  <c r="V123" i="83" s="1"/>
  <c r="V64" i="83"/>
  <c r="V132" i="83" s="1"/>
  <c r="W64" i="83"/>
  <c r="X63" i="83"/>
  <c r="M63" i="83"/>
  <c r="J63" i="83"/>
  <c r="K62" i="83"/>
  <c r="K130" i="83" s="1"/>
  <c r="K130" i="72" s="1"/>
  <c r="L63" i="83"/>
  <c r="P41" i="80"/>
  <c r="L42" i="80"/>
  <c r="L204" i="80" s="1"/>
  <c r="L35" i="80"/>
  <c r="X36" i="80"/>
  <c r="T38" i="80"/>
  <c r="T86" i="80" s="1"/>
  <c r="W42" i="80"/>
  <c r="W113" i="80" s="1"/>
  <c r="K41" i="80"/>
  <c r="O39" i="80"/>
  <c r="S37" i="80"/>
  <c r="W35" i="80"/>
  <c r="W106" i="80" s="1"/>
  <c r="K34" i="80"/>
  <c r="N41" i="80"/>
  <c r="R39" i="80"/>
  <c r="V37" i="80"/>
  <c r="J36" i="80"/>
  <c r="N34" i="80"/>
  <c r="U41" i="80"/>
  <c r="U89" i="80" s="1"/>
  <c r="Y39" i="80"/>
  <c r="M38" i="80"/>
  <c r="Q36" i="80"/>
  <c r="T86" i="73"/>
  <c r="M89" i="73"/>
  <c r="L85" i="73"/>
  <c r="O86" i="73"/>
  <c r="L82" i="73"/>
  <c r="U80" i="73"/>
  <c r="W84" i="73"/>
  <c r="Y81" i="73"/>
  <c r="Y88" i="73"/>
  <c r="R84" i="73"/>
  <c r="V88" i="73"/>
  <c r="J84" i="73"/>
  <c r="O80" i="73"/>
  <c r="U83" i="73"/>
  <c r="S81" i="73"/>
  <c r="P89" i="73"/>
  <c r="U89" i="73"/>
  <c r="P88" i="73"/>
  <c r="S87" i="73"/>
  <c r="Q88" i="73"/>
  <c r="K86" i="73"/>
  <c r="P83" i="73"/>
  <c r="S82" i="73"/>
  <c r="M82" i="73"/>
  <c r="X81" i="73"/>
  <c r="X88" i="73"/>
  <c r="W85" i="73"/>
  <c r="Y82" i="73"/>
  <c r="Y89" i="73"/>
  <c r="J80" i="73"/>
  <c r="V82" i="73"/>
  <c r="N89" i="73"/>
  <c r="R87" i="73"/>
  <c r="N81" i="73"/>
  <c r="J83" i="73"/>
  <c r="V81" i="73"/>
  <c r="N83" i="73"/>
  <c r="J85" i="73"/>
  <c r="P86" i="73"/>
  <c r="L87" i="73"/>
  <c r="O83" i="73"/>
  <c r="X80" i="73"/>
  <c r="R82" i="73"/>
  <c r="S85" i="73"/>
  <c r="T83" i="73"/>
  <c r="K87" i="73"/>
  <c r="K82" i="73"/>
  <c r="P80" i="73"/>
  <c r="T89" i="73"/>
  <c r="K89" i="73"/>
  <c r="N80" i="73"/>
  <c r="S88" i="73"/>
  <c r="T84" i="73"/>
  <c r="K84" i="73"/>
  <c r="Q83" i="73"/>
  <c r="X82" i="73"/>
  <c r="X89" i="73"/>
  <c r="W86" i="73"/>
  <c r="Y83" i="73"/>
  <c r="V80" i="73"/>
  <c r="J81" i="73"/>
  <c r="R89" i="73"/>
  <c r="V87" i="73"/>
  <c r="N86" i="73"/>
  <c r="J89" i="73"/>
  <c r="Q64" i="83"/>
  <c r="N61" i="83"/>
  <c r="O60" i="83"/>
  <c r="P58" i="83"/>
  <c r="Q57" i="83"/>
  <c r="Q125" i="83" s="1"/>
  <c r="Q125" i="72" s="1"/>
  <c r="Q195" i="72" s="1"/>
  <c r="Q225" i="72" s="1"/>
  <c r="N62" i="83"/>
  <c r="P59" i="83"/>
  <c r="P127" i="83" s="1"/>
  <c r="P127" i="72" s="1"/>
  <c r="P197" i="72" s="1"/>
  <c r="P227" i="72" s="1"/>
  <c r="U63" i="83"/>
  <c r="U218" i="83" s="1"/>
  <c r="U90" i="71" s="1"/>
  <c r="S59" i="83"/>
  <c r="U56" i="83"/>
  <c r="U153" i="83" s="1"/>
  <c r="U23" i="71" s="1"/>
  <c r="U64" i="83"/>
  <c r="U190" i="83" s="1"/>
  <c r="U61" i="71" s="1"/>
  <c r="R61" i="83"/>
  <c r="R129" i="83" s="1"/>
  <c r="S60" i="83"/>
  <c r="T58" i="83"/>
  <c r="T213" i="83" s="1"/>
  <c r="T85" i="71" s="1"/>
  <c r="Y55" i="83"/>
  <c r="Y123" i="83" s="1"/>
  <c r="Y59" i="83"/>
  <c r="Y214" i="83" s="1"/>
  <c r="Y86" i="71" s="1"/>
  <c r="Y63" i="83"/>
  <c r="V57" i="83"/>
  <c r="V183" i="83" s="1"/>
  <c r="V54" i="71" s="1"/>
  <c r="V61" i="83"/>
  <c r="V187" i="83" s="1"/>
  <c r="V58" i="71" s="1"/>
  <c r="W55" i="83"/>
  <c r="W152" i="83" s="1"/>
  <c r="W59" i="83"/>
  <c r="W156" i="83" s="1"/>
  <c r="W26" i="71" s="1"/>
  <c r="W63" i="83"/>
  <c r="X57" i="83"/>
  <c r="X61" i="83"/>
  <c r="X129" i="83" s="1"/>
  <c r="M56" i="83"/>
  <c r="M124" i="83" s="1"/>
  <c r="M60" i="83"/>
  <c r="M64" i="83"/>
  <c r="J58" i="83"/>
  <c r="J126" i="83" s="1"/>
  <c r="J126" i="72" s="1"/>
  <c r="J196" i="72" s="1"/>
  <c r="J226" i="72" s="1"/>
  <c r="J62" i="83"/>
  <c r="K56" i="83"/>
  <c r="K124" i="83" s="1"/>
  <c r="K60" i="83"/>
  <c r="K64" i="83"/>
  <c r="K132" i="83" s="1"/>
  <c r="K132" i="72" s="1"/>
  <c r="L60" i="83"/>
  <c r="L128" i="83" s="1"/>
  <c r="L128" i="72" s="1"/>
  <c r="L64" i="83"/>
  <c r="T90" i="80"/>
  <c r="L57" i="83"/>
  <c r="L125" i="83" s="1"/>
  <c r="L125" i="72" s="1"/>
  <c r="M55" i="83"/>
  <c r="M123" i="83" s="1"/>
  <c r="T82" i="80"/>
  <c r="T136" i="80"/>
  <c r="U133" i="80"/>
  <c r="T105" i="80"/>
  <c r="U112" i="80"/>
  <c r="U134" i="80"/>
  <c r="U84" i="80"/>
  <c r="U128" i="80"/>
  <c r="T109" i="80"/>
  <c r="U107" i="80"/>
  <c r="P204" i="80"/>
  <c r="M200" i="80"/>
  <c r="M20" i="74" s="1"/>
  <c r="K69" i="53"/>
  <c r="K71" i="53"/>
  <c r="K73" i="53" s="1"/>
  <c r="U111" i="80"/>
  <c r="Y152" i="83"/>
  <c r="Y22" i="71" s="1"/>
  <c r="Y127" i="71" s="1"/>
  <c r="Y181" i="83"/>
  <c r="Y52" i="71" s="1"/>
  <c r="U132" i="80"/>
  <c r="Y210" i="83"/>
  <c r="Y82" i="71" s="1"/>
  <c r="U85" i="80"/>
  <c r="Y130" i="80"/>
  <c r="Y128" i="80"/>
  <c r="T153" i="83"/>
  <c r="T23" i="71" s="1"/>
  <c r="M133" i="74"/>
  <c r="N132" i="74"/>
  <c r="M44" i="53"/>
  <c r="M50" i="53" s="1"/>
  <c r="M69" i="53"/>
  <c r="J43" i="53"/>
  <c r="J49" i="53" s="1"/>
  <c r="J69" i="53"/>
  <c r="J71" i="53"/>
  <c r="J73" i="53" s="1"/>
  <c r="L69" i="53"/>
  <c r="L71" i="53"/>
  <c r="L73" i="53" s="1"/>
  <c r="P50" i="53"/>
  <c r="P49" i="53"/>
  <c r="P48" i="53"/>
  <c r="P54" i="53" s="1"/>
  <c r="P93" i="53" s="1"/>
  <c r="N48" i="53"/>
  <c r="N54" i="53" s="1"/>
  <c r="N93" i="53" s="1"/>
  <c r="N50" i="53"/>
  <c r="N49" i="53"/>
  <c r="O50" i="53"/>
  <c r="O49" i="53"/>
  <c r="O48" i="53"/>
  <c r="O54" i="53" s="1"/>
  <c r="O93" i="53" s="1"/>
  <c r="Q50" i="53"/>
  <c r="Q49" i="53"/>
  <c r="Q48" i="53"/>
  <c r="Q54" i="53" s="1"/>
  <c r="Q93" i="53" s="1"/>
  <c r="L43" i="53"/>
  <c r="L49" i="53" s="1"/>
  <c r="K44" i="53"/>
  <c r="K50" i="53" s="1"/>
  <c r="M43" i="53"/>
  <c r="M49" i="53" s="1"/>
  <c r="K43" i="53"/>
  <c r="K49" i="53" s="1"/>
  <c r="L42" i="53"/>
  <c r="L48" i="53" s="1"/>
  <c r="L54" i="53" s="1"/>
  <c r="J42" i="53"/>
  <c r="J48" i="53" s="1"/>
  <c r="J54" i="53" s="1"/>
  <c r="K42" i="53"/>
  <c r="K48" i="53" s="1"/>
  <c r="K54" i="53" s="1"/>
  <c r="L44" i="53"/>
  <c r="L50" i="53" s="1"/>
  <c r="J44" i="53"/>
  <c r="J50" i="53" s="1"/>
  <c r="M42" i="53"/>
  <c r="M48" i="53" s="1"/>
  <c r="T88" i="80"/>
  <c r="T134" i="80"/>
  <c r="T107" i="80"/>
  <c r="T84" i="80"/>
  <c r="J204" i="80"/>
  <c r="T130" i="80"/>
  <c r="T111" i="80"/>
  <c r="U186" i="83"/>
  <c r="U57" i="71" s="1"/>
  <c r="T154" i="83"/>
  <c r="T24" i="71" s="1"/>
  <c r="T188" i="83"/>
  <c r="T59" i="71" s="1"/>
  <c r="W109" i="80"/>
  <c r="V86" i="80"/>
  <c r="V82" i="80"/>
  <c r="Y133" i="80"/>
  <c r="Y90" i="80"/>
  <c r="T129" i="80"/>
  <c r="V133" i="80"/>
  <c r="V84" i="80"/>
  <c r="V134" i="80"/>
  <c r="Y86" i="80"/>
  <c r="Y135" i="80"/>
  <c r="Y89" i="80"/>
  <c r="W134" i="80"/>
  <c r="Y113" i="80"/>
  <c r="T133" i="80"/>
  <c r="V128" i="80"/>
  <c r="T83" i="80"/>
  <c r="V110" i="80"/>
  <c r="V109" i="80"/>
  <c r="Y111" i="80"/>
  <c r="Y107" i="80"/>
  <c r="Y110" i="80"/>
  <c r="V108" i="80"/>
  <c r="V129" i="80"/>
  <c r="V83" i="80"/>
  <c r="V182" i="83"/>
  <c r="V53" i="71" s="1"/>
  <c r="Y82" i="80"/>
  <c r="T110" i="80"/>
  <c r="V112" i="80"/>
  <c r="V90" i="80"/>
  <c r="V136" i="80"/>
  <c r="P202" i="80"/>
  <c r="W88" i="80"/>
  <c r="Y106" i="80"/>
  <c r="Y88" i="80"/>
  <c r="T190" i="83"/>
  <c r="T61" i="71" s="1"/>
  <c r="V130" i="80"/>
  <c r="V113" i="80"/>
  <c r="Y87" i="80"/>
  <c r="Y85" i="80"/>
  <c r="Y136" i="80"/>
  <c r="Y112" i="80"/>
  <c r="V135" i="80"/>
  <c r="V153" i="83"/>
  <c r="V23" i="71" s="1"/>
  <c r="V186" i="83"/>
  <c r="V57" i="71" s="1"/>
  <c r="Y188" i="83"/>
  <c r="Y59" i="71" s="1"/>
  <c r="Y108" i="80"/>
  <c r="Y109" i="80"/>
  <c r="Y105" i="80"/>
  <c r="L202" i="80"/>
  <c r="L206" i="80" s="1"/>
  <c r="W108" i="80"/>
  <c r="Y134" i="80"/>
  <c r="Y84" i="80"/>
  <c r="V211" i="83"/>
  <c r="V83" i="71" s="1"/>
  <c r="T211" i="83"/>
  <c r="T83" i="71" s="1"/>
  <c r="V111" i="80"/>
  <c r="V87" i="80"/>
  <c r="Y132" i="80"/>
  <c r="Y83" i="80"/>
  <c r="Y131" i="80"/>
  <c r="Y129" i="80"/>
  <c r="T87" i="80"/>
  <c r="T106" i="80"/>
  <c r="V88" i="80"/>
  <c r="V85" i="80"/>
  <c r="V106" i="80"/>
  <c r="V105" i="80"/>
  <c r="V132" i="80"/>
  <c r="V89" i="80"/>
  <c r="V131" i="80"/>
  <c r="V107" i="80"/>
  <c r="T112" i="80"/>
  <c r="J20" i="74"/>
  <c r="O204" i="80"/>
  <c r="O206" i="80" s="1"/>
  <c r="Y211" i="83"/>
  <c r="Y83" i="71" s="1"/>
  <c r="Y190" i="83"/>
  <c r="Y61" i="71" s="1"/>
  <c r="T186" i="83"/>
  <c r="T57" i="71" s="1"/>
  <c r="T182" i="83"/>
  <c r="T53" i="71" s="1"/>
  <c r="U216" i="83"/>
  <c r="U88" i="71" s="1"/>
  <c r="Y153" i="83"/>
  <c r="Y23" i="71" s="1"/>
  <c r="Y155" i="83"/>
  <c r="Y25" i="71" s="1"/>
  <c r="V184" i="83"/>
  <c r="V55" i="71" s="1"/>
  <c r="W159" i="83"/>
  <c r="W29" i="71" s="1"/>
  <c r="V216" i="83"/>
  <c r="V88" i="71" s="1"/>
  <c r="Y218" i="83"/>
  <c r="Y90" i="71" s="1"/>
  <c r="Y160" i="83"/>
  <c r="Y30" i="71" s="1"/>
  <c r="Y159" i="83"/>
  <c r="Y29" i="71" s="1"/>
  <c r="T89" i="80"/>
  <c r="T85" i="80"/>
  <c r="Y186" i="83"/>
  <c r="Y57" i="71" s="1"/>
  <c r="X156" i="83"/>
  <c r="X26" i="71" s="1"/>
  <c r="U181" i="83"/>
  <c r="U52" i="71" s="1"/>
  <c r="T156" i="83"/>
  <c r="T26" i="71" s="1"/>
  <c r="V156" i="83"/>
  <c r="V26" i="71" s="1"/>
  <c r="V181" i="83"/>
  <c r="V52" i="71" s="1"/>
  <c r="V214" i="83"/>
  <c r="V86" i="71" s="1"/>
  <c r="Q204" i="80"/>
  <c r="Q206" i="80" s="1"/>
  <c r="N200" i="80"/>
  <c r="N20" i="74" s="1"/>
  <c r="T131" i="80"/>
  <c r="V152" i="83"/>
  <c r="V22" i="71" s="1"/>
  <c r="V127" i="71" s="1"/>
  <c r="T108" i="80"/>
  <c r="T135" i="80"/>
  <c r="T158" i="83"/>
  <c r="T28" i="71" s="1"/>
  <c r="V160" i="83"/>
  <c r="V30" i="71" s="1"/>
  <c r="T160" i="83"/>
  <c r="T30" i="71" s="1"/>
  <c r="T189" i="83"/>
  <c r="T60" i="71" s="1"/>
  <c r="S204" i="80"/>
  <c r="S202" i="80"/>
  <c r="X110" i="80"/>
  <c r="X87" i="80"/>
  <c r="X133" i="80"/>
  <c r="U83" i="80"/>
  <c r="U129" i="80"/>
  <c r="W107" i="80"/>
  <c r="W130" i="80"/>
  <c r="W84" i="80"/>
  <c r="R202" i="80"/>
  <c r="R204" i="80"/>
  <c r="X86" i="80"/>
  <c r="X109" i="80"/>
  <c r="X106" i="80"/>
  <c r="X129" i="80"/>
  <c r="X83" i="80"/>
  <c r="X112" i="80"/>
  <c r="X89" i="80"/>
  <c r="X135" i="80"/>
  <c r="U110" i="80"/>
  <c r="U108" i="80"/>
  <c r="U123" i="83"/>
  <c r="U210" i="83"/>
  <c r="U82" i="71" s="1"/>
  <c r="X123" i="83"/>
  <c r="X210" i="83"/>
  <c r="X82" i="71" s="1"/>
  <c r="X152" i="83"/>
  <c r="X181" i="83"/>
  <c r="X52" i="71" s="1"/>
  <c r="W112" i="80"/>
  <c r="U188" i="83"/>
  <c r="U59" i="71" s="1"/>
  <c r="W82" i="80"/>
  <c r="W105" i="80"/>
  <c r="W128" i="80"/>
  <c r="X202" i="80"/>
  <c r="X204" i="80"/>
  <c r="X136" i="80"/>
  <c r="X90" i="80"/>
  <c r="X113" i="80"/>
  <c r="W83" i="80"/>
  <c r="W129" i="80"/>
  <c r="X134" i="80"/>
  <c r="X111" i="80"/>
  <c r="X88" i="80"/>
  <c r="X130" i="80"/>
  <c r="X84" i="80"/>
  <c r="X107" i="80"/>
  <c r="Y202" i="80"/>
  <c r="Y204" i="80"/>
  <c r="U204" i="80"/>
  <c r="U202" i="80"/>
  <c r="U136" i="80"/>
  <c r="W85" i="80"/>
  <c r="X124" i="83"/>
  <c r="X182" i="83"/>
  <c r="X53" i="71" s="1"/>
  <c r="X153" i="83"/>
  <c r="X23" i="71" s="1"/>
  <c r="X211" i="83"/>
  <c r="X83" i="71" s="1"/>
  <c r="U90" i="80"/>
  <c r="U109" i="80"/>
  <c r="X108" i="80"/>
  <c r="X131" i="80"/>
  <c r="V204" i="80"/>
  <c r="V202" i="80"/>
  <c r="T204" i="80"/>
  <c r="T202" i="80"/>
  <c r="W89" i="80"/>
  <c r="U82" i="80"/>
  <c r="U124" i="83"/>
  <c r="U211" i="83"/>
  <c r="U83" i="71" s="1"/>
  <c r="W123" i="83"/>
  <c r="W86" i="80"/>
  <c r="U217" i="83"/>
  <c r="U89" i="71" s="1"/>
  <c r="W133" i="80"/>
  <c r="W87" i="80"/>
  <c r="X82" i="80"/>
  <c r="X128" i="80"/>
  <c r="X105" i="80"/>
  <c r="U106" i="80"/>
  <c r="W124" i="83"/>
  <c r="W182" i="83"/>
  <c r="W53" i="71" s="1"/>
  <c r="W153" i="83"/>
  <c r="W23" i="71" s="1"/>
  <c r="W211" i="83"/>
  <c r="W83" i="71" s="1"/>
  <c r="W110" i="80"/>
  <c r="U182" i="83"/>
  <c r="U53" i="71" s="1"/>
  <c r="U161" i="83"/>
  <c r="U31" i="71" s="1"/>
  <c r="T159" i="83"/>
  <c r="T29" i="71" s="1"/>
  <c r="T161" i="83"/>
  <c r="T31" i="71" s="1"/>
  <c r="T215" i="83"/>
  <c r="T87" i="71" s="1"/>
  <c r="T157" i="83"/>
  <c r="T27" i="71" s="1"/>
  <c r="Y215" i="83"/>
  <c r="Y87" i="71" s="1"/>
  <c r="V159" i="83"/>
  <c r="V29" i="71" s="1"/>
  <c r="T217" i="83"/>
  <c r="T89" i="71" s="1"/>
  <c r="V215" i="83"/>
  <c r="V87" i="71" s="1"/>
  <c r="W186" i="83"/>
  <c r="W57" i="71" s="1"/>
  <c r="T219" i="83"/>
  <c r="T91" i="71" s="1"/>
  <c r="X215" i="83"/>
  <c r="X87" i="71" s="1"/>
  <c r="W157" i="83"/>
  <c r="W27" i="71" s="1"/>
  <c r="Y217" i="83"/>
  <c r="Y89" i="71" s="1"/>
  <c r="V188" i="83"/>
  <c r="V59" i="71" s="1"/>
  <c r="Y154" i="83"/>
  <c r="Y24" i="71" s="1"/>
  <c r="Y212" i="83"/>
  <c r="Y84" i="71" s="1"/>
  <c r="T183" i="83"/>
  <c r="T54" i="71" s="1"/>
  <c r="Y213" i="83"/>
  <c r="Y85" i="71" s="1"/>
  <c r="V155" i="83"/>
  <c r="V25" i="71" s="1"/>
  <c r="V217" i="83"/>
  <c r="V89" i="71" s="1"/>
  <c r="Y157" i="83"/>
  <c r="Y27" i="71" s="1"/>
  <c r="V157" i="83"/>
  <c r="V27" i="71" s="1"/>
  <c r="Y161" i="83"/>
  <c r="Y31" i="71" s="1"/>
  <c r="T212" i="83"/>
  <c r="T84" i="71" s="1"/>
  <c r="U157" i="83"/>
  <c r="U27" i="71" s="1"/>
  <c r="Q20" i="31"/>
  <c r="P21" i="31"/>
  <c r="U126" i="83"/>
  <c r="V126" i="83"/>
  <c r="R126" i="83"/>
  <c r="W126" i="83"/>
  <c r="X155" i="83"/>
  <c r="X25" i="71" s="1"/>
  <c r="W184" i="83"/>
  <c r="W55" i="71" s="1"/>
  <c r="Q126" i="83"/>
  <c r="Q126" i="72" s="1"/>
  <c r="Q196" i="72" s="1"/>
  <c r="Q226" i="72" s="1"/>
  <c r="P126" i="83"/>
  <c r="P126" i="72" s="1"/>
  <c r="P196" i="72" s="1"/>
  <c r="P226" i="72" s="1"/>
  <c r="Y126" i="83"/>
  <c r="U184" i="83"/>
  <c r="U55" i="71" s="1"/>
  <c r="K126" i="83"/>
  <c r="K126" i="72" s="1"/>
  <c r="M126" i="83"/>
  <c r="M126" i="72" s="1"/>
  <c r="S126" i="83"/>
  <c r="W213" i="83"/>
  <c r="W85" i="71" s="1"/>
  <c r="L126" i="83"/>
  <c r="L126" i="72" s="1"/>
  <c r="X184" i="83"/>
  <c r="X55" i="71" s="1"/>
  <c r="O126" i="83"/>
  <c r="O126" i="72" s="1"/>
  <c r="O196" i="72" s="1"/>
  <c r="O226" i="72" s="1"/>
  <c r="X126" i="83"/>
  <c r="X213" i="83"/>
  <c r="X85" i="71" s="1"/>
  <c r="W155" i="83"/>
  <c r="W25" i="71" s="1"/>
  <c r="N126" i="83"/>
  <c r="N126" i="72" s="1"/>
  <c r="U213" i="83"/>
  <c r="U85" i="71" s="1"/>
  <c r="U155" i="83"/>
  <c r="U25" i="71" s="1"/>
  <c r="U127" i="83"/>
  <c r="V127" i="83"/>
  <c r="M127" i="83"/>
  <c r="M127" i="72" s="1"/>
  <c r="S127" i="83"/>
  <c r="Q127" i="83"/>
  <c r="Q127" i="72" s="1"/>
  <c r="Q197" i="72" s="1"/>
  <c r="Q227" i="72" s="1"/>
  <c r="N127" i="83"/>
  <c r="N127" i="72" s="1"/>
  <c r="O127" i="83"/>
  <c r="O127" i="72" s="1"/>
  <c r="O197" i="72" s="1"/>
  <c r="O227" i="72" s="1"/>
  <c r="X127" i="83"/>
  <c r="L127" i="83"/>
  <c r="L127" i="72" s="1"/>
  <c r="K127" i="83"/>
  <c r="K127" i="72" s="1"/>
  <c r="Y127" i="83"/>
  <c r="T127" i="83"/>
  <c r="J127" i="83"/>
  <c r="J127" i="72" s="1"/>
  <c r="J197" i="72" s="1"/>
  <c r="J227" i="72" s="1"/>
  <c r="R127" i="83"/>
  <c r="U214" i="83"/>
  <c r="U86" i="71" s="1"/>
  <c r="X214" i="83"/>
  <c r="X86" i="71" s="1"/>
  <c r="X185" i="83"/>
  <c r="X56" i="71" s="1"/>
  <c r="U185" i="83"/>
  <c r="U56" i="71" s="1"/>
  <c r="U156" i="83"/>
  <c r="U26" i="71" s="1"/>
  <c r="Y185" i="83"/>
  <c r="Y56" i="71" s="1"/>
  <c r="Y163" i="72"/>
  <c r="Y198" i="72" s="1"/>
  <c r="Y228" i="72" s="1"/>
  <c r="W163" i="72"/>
  <c r="W198" i="72" s="1"/>
  <c r="W228" i="72" s="1"/>
  <c r="U163" i="72"/>
  <c r="U198" i="72" s="1"/>
  <c r="U228" i="72" s="1"/>
  <c r="T163" i="72"/>
  <c r="T198" i="72" s="1"/>
  <c r="T228" i="72" s="1"/>
  <c r="X163" i="72"/>
  <c r="X198" i="72" s="1"/>
  <c r="X228" i="72" s="1"/>
  <c r="S163" i="72"/>
  <c r="S198" i="72" s="1"/>
  <c r="S228" i="72" s="1"/>
  <c r="V163" i="72"/>
  <c r="V198" i="72" s="1"/>
  <c r="V228" i="72" s="1"/>
  <c r="R163" i="72"/>
  <c r="R198" i="72" s="1"/>
  <c r="R228" i="72" s="1"/>
  <c r="T160" i="72"/>
  <c r="T195" i="72" s="1"/>
  <c r="T225" i="72" s="1"/>
  <c r="S160" i="72"/>
  <c r="S195" i="72" s="1"/>
  <c r="S225" i="72" s="1"/>
  <c r="V160" i="72"/>
  <c r="V195" i="72" s="1"/>
  <c r="V225" i="72" s="1"/>
  <c r="U160" i="72"/>
  <c r="U195" i="72" s="1"/>
  <c r="U225" i="72" s="1"/>
  <c r="Y160" i="72"/>
  <c r="Y195" i="72" s="1"/>
  <c r="Y225" i="72" s="1"/>
  <c r="R160" i="72"/>
  <c r="R195" i="72" s="1"/>
  <c r="R225" i="72" s="1"/>
  <c r="X160" i="72"/>
  <c r="X195" i="72" s="1"/>
  <c r="X225" i="72" s="1"/>
  <c r="W160" i="72"/>
  <c r="W195" i="72" s="1"/>
  <c r="W225" i="72" s="1"/>
  <c r="U158" i="83"/>
  <c r="U28" i="71" s="1"/>
  <c r="L129" i="83"/>
  <c r="L129" i="72" s="1"/>
  <c r="T129" i="83"/>
  <c r="O129" i="83"/>
  <c r="O129" i="72" s="1"/>
  <c r="O199" i="72" s="1"/>
  <c r="O229" i="72" s="1"/>
  <c r="W216" i="83"/>
  <c r="W88" i="71" s="1"/>
  <c r="K129" i="83"/>
  <c r="K129" i="72" s="1"/>
  <c r="V129" i="83"/>
  <c r="J129" i="83"/>
  <c r="J129" i="72" s="1"/>
  <c r="J199" i="72" s="1"/>
  <c r="J229" i="72" s="1"/>
  <c r="Y129" i="83"/>
  <c r="U129" i="83"/>
  <c r="P129" i="83"/>
  <c r="P129" i="72" s="1"/>
  <c r="P199" i="72" s="1"/>
  <c r="P229" i="72" s="1"/>
  <c r="M129" i="83"/>
  <c r="M129" i="72" s="1"/>
  <c r="W158" i="83"/>
  <c r="W28" i="71" s="1"/>
  <c r="N129" i="83"/>
  <c r="N129" i="72" s="1"/>
  <c r="W129" i="83"/>
  <c r="Q129" i="83"/>
  <c r="Q129" i="72" s="1"/>
  <c r="Q199" i="72" s="1"/>
  <c r="Q229" i="72" s="1"/>
  <c r="S129" i="83"/>
  <c r="X160" i="83"/>
  <c r="X30" i="71" s="1"/>
  <c r="N131" i="83"/>
  <c r="N131" i="72" s="1"/>
  <c r="J131" i="83"/>
  <c r="J131" i="72" s="1"/>
  <c r="J201" i="72" s="1"/>
  <c r="J231" i="72" s="1"/>
  <c r="P131" i="83"/>
  <c r="P131" i="72" s="1"/>
  <c r="P201" i="72" s="1"/>
  <c r="P231" i="72" s="1"/>
  <c r="Y131" i="83"/>
  <c r="X189" i="83"/>
  <c r="X60" i="71" s="1"/>
  <c r="X218" i="83"/>
  <c r="X90" i="71" s="1"/>
  <c r="Q131" i="83"/>
  <c r="Q131" i="72" s="1"/>
  <c r="Q201" i="72" s="1"/>
  <c r="Q231" i="72" s="1"/>
  <c r="L131" i="83"/>
  <c r="L131" i="72" s="1"/>
  <c r="M131" i="83"/>
  <c r="M131" i="72" s="1"/>
  <c r="S131" i="83"/>
  <c r="W218" i="83"/>
  <c r="W90" i="71" s="1"/>
  <c r="K131" i="83"/>
  <c r="K131" i="72" s="1"/>
  <c r="X131" i="83"/>
  <c r="W131" i="83"/>
  <c r="T131" i="83"/>
  <c r="R131" i="83"/>
  <c r="V131" i="83"/>
  <c r="O131" i="83"/>
  <c r="O131" i="72" s="1"/>
  <c r="O201" i="72" s="1"/>
  <c r="O231" i="72" s="1"/>
  <c r="W161" i="72"/>
  <c r="W196" i="72" s="1"/>
  <c r="W226" i="72" s="1"/>
  <c r="S161" i="72"/>
  <c r="S196" i="72" s="1"/>
  <c r="S226" i="72" s="1"/>
  <c r="X161" i="72"/>
  <c r="X196" i="72" s="1"/>
  <c r="X226" i="72" s="1"/>
  <c r="R161" i="72"/>
  <c r="R196" i="72" s="1"/>
  <c r="R226" i="72" s="1"/>
  <c r="T161" i="72"/>
  <c r="T196" i="72" s="1"/>
  <c r="T226" i="72" s="1"/>
  <c r="Y161" i="72"/>
  <c r="Y196" i="72" s="1"/>
  <c r="Y226" i="72" s="1"/>
  <c r="V161" i="72"/>
  <c r="V196" i="72" s="1"/>
  <c r="V226" i="72" s="1"/>
  <c r="U161" i="72"/>
  <c r="U196" i="72" s="1"/>
  <c r="U226" i="72" s="1"/>
  <c r="W164" i="72"/>
  <c r="W199" i="72" s="1"/>
  <c r="W229" i="72" s="1"/>
  <c r="X164" i="72"/>
  <c r="X199" i="72" s="1"/>
  <c r="X229" i="72" s="1"/>
  <c r="T164" i="72"/>
  <c r="T199" i="72" s="1"/>
  <c r="T229" i="72" s="1"/>
  <c r="S164" i="72"/>
  <c r="S199" i="72" s="1"/>
  <c r="S229" i="72" s="1"/>
  <c r="U164" i="72"/>
  <c r="U199" i="72" s="1"/>
  <c r="U229" i="72" s="1"/>
  <c r="R164" i="72"/>
  <c r="R199" i="72" s="1"/>
  <c r="R229" i="72" s="1"/>
  <c r="V164" i="72"/>
  <c r="V199" i="72" s="1"/>
  <c r="V229" i="72" s="1"/>
  <c r="Y164" i="72"/>
  <c r="Y199" i="72" s="1"/>
  <c r="Y229" i="72" s="1"/>
  <c r="U187" i="83"/>
  <c r="U58" i="71" s="1"/>
  <c r="T216" i="83"/>
  <c r="T88" i="71" s="1"/>
  <c r="T214" i="83"/>
  <c r="T86" i="71" s="1"/>
  <c r="Y216" i="83"/>
  <c r="Y88" i="71" s="1"/>
  <c r="X183" i="83"/>
  <c r="X54" i="71" s="1"/>
  <c r="U212" i="83"/>
  <c r="U84" i="71" s="1"/>
  <c r="P125" i="83"/>
  <c r="P125" i="72" s="1"/>
  <c r="P195" i="72" s="1"/>
  <c r="P225" i="72" s="1"/>
  <c r="M125" i="83"/>
  <c r="M125" i="72" s="1"/>
  <c r="Y125" i="83"/>
  <c r="N125" i="83"/>
  <c r="N125" i="72" s="1"/>
  <c r="S125" i="83"/>
  <c r="O125" i="83"/>
  <c r="O125" i="72" s="1"/>
  <c r="O195" i="72" s="1"/>
  <c r="O225" i="72" s="1"/>
  <c r="X154" i="83"/>
  <c r="X24" i="71" s="1"/>
  <c r="U154" i="83"/>
  <c r="U24" i="71" s="1"/>
  <c r="J125" i="83"/>
  <c r="J125" i="72" s="1"/>
  <c r="J195" i="72" s="1"/>
  <c r="J225" i="72" s="1"/>
  <c r="W212" i="83"/>
  <c r="W84" i="71" s="1"/>
  <c r="X212" i="83"/>
  <c r="X84" i="71" s="1"/>
  <c r="T125" i="83"/>
  <c r="R125" i="83"/>
  <c r="W125" i="83"/>
  <c r="W154" i="83"/>
  <c r="W24" i="71" s="1"/>
  <c r="K125" i="83"/>
  <c r="K125" i="72" s="1"/>
  <c r="X125" i="83"/>
  <c r="T132" i="83"/>
  <c r="N132" i="83"/>
  <c r="N132" i="72" s="1"/>
  <c r="S132" i="83"/>
  <c r="R132" i="83"/>
  <c r="L132" i="83"/>
  <c r="L132" i="72" s="1"/>
  <c r="X132" i="83"/>
  <c r="Q132" i="83"/>
  <c r="Q132" i="72" s="1"/>
  <c r="Q202" i="72" s="1"/>
  <c r="Q232" i="72" s="1"/>
  <c r="M132" i="83"/>
  <c r="M132" i="72" s="1"/>
  <c r="U132" i="83"/>
  <c r="O132" i="83"/>
  <c r="O132" i="72" s="1"/>
  <c r="O202" i="72" s="1"/>
  <c r="O232" i="72" s="1"/>
  <c r="W132" i="83"/>
  <c r="P132" i="83"/>
  <c r="P132" i="72" s="1"/>
  <c r="P202" i="72" s="1"/>
  <c r="P232" i="72" s="1"/>
  <c r="J132" i="83"/>
  <c r="J132" i="72" s="1"/>
  <c r="J202" i="72" s="1"/>
  <c r="J232" i="72" s="1"/>
  <c r="Y132" i="83"/>
  <c r="U219" i="83"/>
  <c r="U91" i="71" s="1"/>
  <c r="W219" i="83"/>
  <c r="W91" i="71" s="1"/>
  <c r="X219" i="83"/>
  <c r="X91" i="71" s="1"/>
  <c r="X190" i="83"/>
  <c r="X61" i="71" s="1"/>
  <c r="X161" i="83"/>
  <c r="X31" i="71" s="1"/>
  <c r="U189" i="83"/>
  <c r="U60" i="71" s="1"/>
  <c r="Y167" i="72"/>
  <c r="Y202" i="72" s="1"/>
  <c r="Y232" i="72" s="1"/>
  <c r="W167" i="72"/>
  <c r="W202" i="72" s="1"/>
  <c r="W232" i="72" s="1"/>
  <c r="X167" i="72"/>
  <c r="X202" i="72" s="1"/>
  <c r="X232" i="72" s="1"/>
  <c r="R167" i="72"/>
  <c r="R202" i="72" s="1"/>
  <c r="R232" i="72" s="1"/>
  <c r="S167" i="72"/>
  <c r="S202" i="72" s="1"/>
  <c r="S232" i="72" s="1"/>
  <c r="V167" i="72"/>
  <c r="V202" i="72" s="1"/>
  <c r="V232" i="72" s="1"/>
  <c r="U167" i="72"/>
  <c r="U202" i="72" s="1"/>
  <c r="U232" i="72" s="1"/>
  <c r="T167" i="72"/>
  <c r="T202" i="72" s="1"/>
  <c r="T232" i="72" s="1"/>
  <c r="V165" i="72"/>
  <c r="V200" i="72" s="1"/>
  <c r="V230" i="72" s="1"/>
  <c r="R165" i="72"/>
  <c r="R200" i="72" s="1"/>
  <c r="R230" i="72" s="1"/>
  <c r="W165" i="72"/>
  <c r="W200" i="72" s="1"/>
  <c r="W230" i="72" s="1"/>
  <c r="T165" i="72"/>
  <c r="T200" i="72" s="1"/>
  <c r="T230" i="72" s="1"/>
  <c r="Y165" i="72"/>
  <c r="Y200" i="72" s="1"/>
  <c r="Y230" i="72" s="1"/>
  <c r="S165" i="72"/>
  <c r="S200" i="72" s="1"/>
  <c r="S230" i="72" s="1"/>
  <c r="X165" i="72"/>
  <c r="X200" i="72" s="1"/>
  <c r="X230" i="72" s="1"/>
  <c r="U165" i="72"/>
  <c r="U200" i="72" s="1"/>
  <c r="U230" i="72" s="1"/>
  <c r="U160" i="83"/>
  <c r="U30" i="71" s="1"/>
  <c r="W187" i="83"/>
  <c r="W58" i="71" s="1"/>
  <c r="W161" i="83"/>
  <c r="W31" i="71" s="1"/>
  <c r="Y183" i="83"/>
  <c r="Y54" i="71" s="1"/>
  <c r="V213" i="83"/>
  <c r="V85" i="71" s="1"/>
  <c r="Y158" i="83"/>
  <c r="Y28" i="71" s="1"/>
  <c r="Y156" i="83"/>
  <c r="Y26" i="71" s="1"/>
  <c r="Y219" i="83"/>
  <c r="Y91" i="71" s="1"/>
  <c r="Y189" i="83"/>
  <c r="Y60" i="71" s="1"/>
  <c r="V218" i="83"/>
  <c r="V90" i="71" s="1"/>
  <c r="Y184" i="83"/>
  <c r="Y55" i="71" s="1"/>
  <c r="Y187" i="83"/>
  <c r="Y58" i="71" s="1"/>
  <c r="T185" i="83"/>
  <c r="T56" i="71" s="1"/>
  <c r="T218" i="83"/>
  <c r="T90" i="71" s="1"/>
  <c r="V185" i="83"/>
  <c r="V56" i="71" s="1"/>
  <c r="V154" i="83"/>
  <c r="V24" i="71" s="1"/>
  <c r="T187" i="83"/>
  <c r="T58" i="71" s="1"/>
  <c r="V189" i="83"/>
  <c r="V60" i="71" s="1"/>
  <c r="V161" i="83"/>
  <c r="V31" i="71" s="1"/>
  <c r="W217" i="83"/>
  <c r="W89" i="71" s="1"/>
  <c r="U130" i="83"/>
  <c r="Q130" i="83"/>
  <c r="Q130" i="72" s="1"/>
  <c r="Q200" i="72" s="1"/>
  <c r="Q230" i="72" s="1"/>
  <c r="O130" i="83"/>
  <c r="O130" i="72" s="1"/>
  <c r="O200" i="72" s="1"/>
  <c r="O230" i="72" s="1"/>
  <c r="W130" i="83"/>
  <c r="X217" i="83"/>
  <c r="X89" i="71" s="1"/>
  <c r="U159" i="83"/>
  <c r="U29" i="71" s="1"/>
  <c r="T130" i="83"/>
  <c r="J130" i="83"/>
  <c r="J130" i="72" s="1"/>
  <c r="J200" i="72" s="1"/>
  <c r="J230" i="72" s="1"/>
  <c r="P130" i="83"/>
  <c r="P130" i="72" s="1"/>
  <c r="P200" i="72" s="1"/>
  <c r="P230" i="72" s="1"/>
  <c r="Y130" i="83"/>
  <c r="X159" i="83"/>
  <c r="X29" i="71" s="1"/>
  <c r="N130" i="83"/>
  <c r="N130" i="72" s="1"/>
  <c r="M130" i="83"/>
  <c r="M130" i="72" s="1"/>
  <c r="S130" i="83"/>
  <c r="V130" i="83"/>
  <c r="R130" i="83"/>
  <c r="X188" i="83"/>
  <c r="X59" i="71" s="1"/>
  <c r="X130" i="83"/>
  <c r="L130" i="83"/>
  <c r="L130" i="72" s="1"/>
  <c r="N128" i="83"/>
  <c r="N128" i="72" s="1"/>
  <c r="K128" i="83"/>
  <c r="K128" i="72" s="1"/>
  <c r="P128" i="83"/>
  <c r="P128" i="72" s="1"/>
  <c r="P198" i="72" s="1"/>
  <c r="P228" i="72" s="1"/>
  <c r="M128" i="83"/>
  <c r="M128" i="72" s="1"/>
  <c r="T128" i="83"/>
  <c r="Q128" i="83"/>
  <c r="Q128" i="72" s="1"/>
  <c r="Q198" i="72" s="1"/>
  <c r="Q228" i="72" s="1"/>
  <c r="J128" i="83"/>
  <c r="J128" i="72" s="1"/>
  <c r="J198" i="72" s="1"/>
  <c r="J228" i="72" s="1"/>
  <c r="R128" i="83"/>
  <c r="O128" i="83"/>
  <c r="O128" i="72" s="1"/>
  <c r="O198" i="72" s="1"/>
  <c r="O228" i="72" s="1"/>
  <c r="X128" i="83"/>
  <c r="V128" i="83"/>
  <c r="Y128" i="83"/>
  <c r="U128" i="83"/>
  <c r="W128" i="83"/>
  <c r="S128" i="83"/>
  <c r="U215" i="83"/>
  <c r="U87" i="71" s="1"/>
  <c r="X157" i="83"/>
  <c r="X27" i="71" s="1"/>
  <c r="X186" i="83"/>
  <c r="X57" i="71" s="1"/>
  <c r="W215" i="83"/>
  <c r="W87" i="71" s="1"/>
  <c r="W190" i="83"/>
  <c r="W61" i="71" s="1"/>
  <c r="W188" i="83"/>
  <c r="W59" i="71" s="1"/>
  <c r="X166" i="72"/>
  <c r="X201" i="72" s="1"/>
  <c r="X231" i="72" s="1"/>
  <c r="V166" i="72"/>
  <c r="V201" i="72" s="1"/>
  <c r="V231" i="72" s="1"/>
  <c r="Y166" i="72"/>
  <c r="Y201" i="72" s="1"/>
  <c r="Y231" i="72" s="1"/>
  <c r="U166" i="72"/>
  <c r="U201" i="72" s="1"/>
  <c r="U231" i="72" s="1"/>
  <c r="T166" i="72"/>
  <c r="T201" i="72" s="1"/>
  <c r="T231" i="72" s="1"/>
  <c r="S166" i="72"/>
  <c r="S201" i="72" s="1"/>
  <c r="S231" i="72" s="1"/>
  <c r="R166" i="72"/>
  <c r="R201" i="72" s="1"/>
  <c r="R231" i="72" s="1"/>
  <c r="W166" i="72"/>
  <c r="W201" i="72" s="1"/>
  <c r="W231" i="72" s="1"/>
  <c r="T162" i="72"/>
  <c r="T197" i="72" s="1"/>
  <c r="T227" i="72" s="1"/>
  <c r="R162" i="72"/>
  <c r="R197" i="72" s="1"/>
  <c r="R227" i="72" s="1"/>
  <c r="X162" i="72"/>
  <c r="X197" i="72" s="1"/>
  <c r="X227" i="72" s="1"/>
  <c r="S162" i="72"/>
  <c r="S197" i="72" s="1"/>
  <c r="S227" i="72" s="1"/>
  <c r="U162" i="72"/>
  <c r="U197" i="72" s="1"/>
  <c r="U227" i="72" s="1"/>
  <c r="V162" i="72"/>
  <c r="V197" i="72" s="1"/>
  <c r="V227" i="72" s="1"/>
  <c r="Y162" i="72"/>
  <c r="Y197" i="72" s="1"/>
  <c r="Y227" i="72" s="1"/>
  <c r="W162" i="72"/>
  <c r="W197" i="72" s="1"/>
  <c r="W227" i="72" s="1"/>
  <c r="W160" i="83"/>
  <c r="W30" i="71" s="1"/>
  <c r="W189" i="83"/>
  <c r="W60" i="71" s="1"/>
  <c r="W183" i="83"/>
  <c r="W54" i="71" s="1"/>
  <c r="M202" i="80"/>
  <c r="M206" i="80" s="1"/>
  <c r="M255" i="80"/>
  <c r="M259" i="80"/>
  <c r="M258" i="80"/>
  <c r="M257" i="80"/>
  <c r="M253" i="80"/>
  <c r="M254" i="80"/>
  <c r="M252" i="80"/>
  <c r="M256" i="80"/>
  <c r="J202" i="80"/>
  <c r="S74" i="74"/>
  <c r="S78" i="74"/>
  <c r="S77" i="74"/>
  <c r="S73" i="74"/>
  <c r="S76" i="74"/>
  <c r="S75" i="74"/>
  <c r="S72" i="74"/>
  <c r="R133" i="74"/>
  <c r="R132" i="74"/>
  <c r="W132" i="74"/>
  <c r="W133" i="74"/>
  <c r="T132" i="74"/>
  <c r="T133" i="74"/>
  <c r="K133" i="74"/>
  <c r="K132" i="74"/>
  <c r="L132" i="74"/>
  <c r="L133" i="74"/>
  <c r="Y133" i="74"/>
  <c r="Y132" i="74"/>
  <c r="X132" i="74"/>
  <c r="X133" i="74"/>
  <c r="S133" i="74"/>
  <c r="S132" i="74"/>
  <c r="U133" i="74"/>
  <c r="U132" i="74"/>
  <c r="O133" i="74"/>
  <c r="O132" i="74"/>
  <c r="J132" i="74"/>
  <c r="J133" i="74"/>
  <c r="V133" i="74"/>
  <c r="V132" i="74"/>
  <c r="Q133" i="74"/>
  <c r="Q132" i="74"/>
  <c r="S55" i="41"/>
  <c r="P132" i="74"/>
  <c r="P133" i="74"/>
  <c r="A4" i="22"/>
  <c r="J41" i="55"/>
  <c r="H33" i="111"/>
  <c r="T74" i="81" s="1"/>
  <c r="T76" i="81" s="1"/>
  <c r="T108" i="81" s="1"/>
  <c r="S52" i="82" s="1"/>
  <c r="U127" i="71"/>
  <c r="H34" i="111"/>
  <c r="U74" i="81" s="1"/>
  <c r="U76" i="81" s="1"/>
  <c r="U108" i="81" s="1"/>
  <c r="T52" i="82" s="1"/>
  <c r="U135" i="80" l="1"/>
  <c r="V210" i="83"/>
  <c r="V82" i="71" s="1"/>
  <c r="T150" i="80"/>
  <c r="T142" i="80"/>
  <c r="T168" i="80" s="1"/>
  <c r="P206" i="80"/>
  <c r="V190" i="83"/>
  <c r="V61" i="71" s="1"/>
  <c r="W214" i="83"/>
  <c r="W86" i="71" s="1"/>
  <c r="T184" i="83"/>
  <c r="T55" i="71" s="1"/>
  <c r="V158" i="83"/>
  <c r="V28" i="71" s="1"/>
  <c r="T152" i="83"/>
  <c r="T22" i="71" s="1"/>
  <c r="T127" i="71" s="1"/>
  <c r="W185" i="83"/>
  <c r="W56" i="71" s="1"/>
  <c r="W161" i="71" s="1"/>
  <c r="Y144" i="80"/>
  <c r="Y170" i="80" s="1"/>
  <c r="V212" i="83"/>
  <c r="V84" i="71" s="1"/>
  <c r="V125" i="83"/>
  <c r="T155" i="83"/>
  <c r="T25" i="71" s="1"/>
  <c r="T130" i="71" s="1"/>
  <c r="W127" i="83"/>
  <c r="T126" i="83"/>
  <c r="W90" i="80"/>
  <c r="W202" i="80"/>
  <c r="T181" i="83"/>
  <c r="T52" i="71" s="1"/>
  <c r="W136" i="80"/>
  <c r="U183" i="83"/>
  <c r="U54" i="71" s="1"/>
  <c r="W204" i="80"/>
  <c r="Y182" i="83"/>
  <c r="Y53" i="71" s="1"/>
  <c r="Y158" i="71" s="1"/>
  <c r="T210" i="83"/>
  <c r="T82" i="71" s="1"/>
  <c r="T187" i="71" s="1"/>
  <c r="T132" i="80"/>
  <c r="T146" i="80" s="1"/>
  <c r="T172" i="80" s="1"/>
  <c r="V219" i="83"/>
  <c r="V91" i="71" s="1"/>
  <c r="X187" i="83"/>
  <c r="X58" i="71" s="1"/>
  <c r="W210" i="83"/>
  <c r="W82" i="71" s="1"/>
  <c r="W187" i="71" s="1"/>
  <c r="U147" i="80"/>
  <c r="U173" i="80" s="1"/>
  <c r="U131" i="83"/>
  <c r="X158" i="83"/>
  <c r="X28" i="71" s="1"/>
  <c r="X133" i="71" s="1"/>
  <c r="W181" i="83"/>
  <c r="W52" i="71" s="1"/>
  <c r="W157" i="71" s="1"/>
  <c r="X216" i="83"/>
  <c r="X88" i="71" s="1"/>
  <c r="X193" i="71" s="1"/>
  <c r="U148" i="80"/>
  <c r="U174" i="80" s="1"/>
  <c r="U146" i="80"/>
  <c r="U172" i="80" s="1"/>
  <c r="U144" i="80"/>
  <c r="U170" i="80" s="1"/>
  <c r="U142" i="80"/>
  <c r="U168" i="80" s="1"/>
  <c r="W148" i="80"/>
  <c r="W174" i="80" s="1"/>
  <c r="U149" i="80"/>
  <c r="U175" i="80" s="1"/>
  <c r="U145" i="80"/>
  <c r="U171" i="80" s="1"/>
  <c r="K77" i="53"/>
  <c r="K83" i="53" s="1"/>
  <c r="L77" i="53"/>
  <c r="L83" i="53" s="1"/>
  <c r="M77" i="53"/>
  <c r="M83" i="53" s="1"/>
  <c r="J206" i="80"/>
  <c r="J77" i="53"/>
  <c r="J83" i="53" s="1"/>
  <c r="W146" i="80"/>
  <c r="W172" i="80" s="1"/>
  <c r="M79" i="53"/>
  <c r="M85" i="53" s="1"/>
  <c r="L79" i="53"/>
  <c r="L85" i="53" s="1"/>
  <c r="K79" i="53"/>
  <c r="K85" i="53" s="1"/>
  <c r="J79" i="53"/>
  <c r="J85" i="53" s="1"/>
  <c r="Y142" i="80"/>
  <c r="Y168" i="80" s="1"/>
  <c r="T148" i="80"/>
  <c r="T174" i="80" s="1"/>
  <c r="Y150" i="80"/>
  <c r="Y208" i="80" s="1"/>
  <c r="T144" i="80"/>
  <c r="T170" i="80" s="1"/>
  <c r="V146" i="80"/>
  <c r="V172" i="80" s="1"/>
  <c r="V148" i="80"/>
  <c r="V174" i="80" s="1"/>
  <c r="Y146" i="80"/>
  <c r="Y172" i="80" s="1"/>
  <c r="T147" i="80"/>
  <c r="T173" i="80" s="1"/>
  <c r="V142" i="80"/>
  <c r="V168" i="80" s="1"/>
  <c r="Y149" i="80"/>
  <c r="Y175" i="80" s="1"/>
  <c r="Y147" i="80"/>
  <c r="Y173" i="80" s="1"/>
  <c r="Y143" i="80"/>
  <c r="Y169" i="80" s="1"/>
  <c r="V150" i="80"/>
  <c r="V176" i="80" s="1"/>
  <c r="Y145" i="80"/>
  <c r="Y171" i="80" s="1"/>
  <c r="Y148" i="80"/>
  <c r="Y174" i="80" s="1"/>
  <c r="W145" i="80"/>
  <c r="W171" i="80" s="1"/>
  <c r="V147" i="80"/>
  <c r="V173" i="80" s="1"/>
  <c r="V149" i="80"/>
  <c r="V175" i="80" s="1"/>
  <c r="V145" i="80"/>
  <c r="V171" i="80" s="1"/>
  <c r="V144" i="80"/>
  <c r="V170" i="80" s="1"/>
  <c r="V143" i="80"/>
  <c r="V169" i="80" s="1"/>
  <c r="T143" i="80"/>
  <c r="T169" i="80" s="1"/>
  <c r="V206" i="80"/>
  <c r="O276" i="53"/>
  <c r="O275" i="53"/>
  <c r="O299" i="53"/>
  <c r="O277" i="53"/>
  <c r="O295" i="53"/>
  <c r="O297" i="53"/>
  <c r="O288" i="53"/>
  <c r="O274" i="53"/>
  <c r="O273" i="53"/>
  <c r="O285" i="53"/>
  <c r="O280" i="53"/>
  <c r="O283" i="53"/>
  <c r="O287" i="53"/>
  <c r="O298" i="53"/>
  <c r="O301" i="53"/>
  <c r="O300" i="53"/>
  <c r="O296" i="53"/>
  <c r="O291" i="53"/>
  <c r="O294" i="53"/>
  <c r="O290" i="53"/>
  <c r="O289" i="53"/>
  <c r="O272" i="53"/>
  <c r="O286" i="53"/>
  <c r="O284" i="53"/>
  <c r="O302" i="53"/>
  <c r="O279" i="53"/>
  <c r="O278" i="53"/>
  <c r="N288" i="53"/>
  <c r="N299" i="53"/>
  <c r="N278" i="53"/>
  <c r="N295" i="53"/>
  <c r="N297" i="53"/>
  <c r="N109" i="83" s="1"/>
  <c r="N214" i="83" s="1"/>
  <c r="N86" i="71" s="1"/>
  <c r="N276" i="53"/>
  <c r="N289" i="53"/>
  <c r="N285" i="53"/>
  <c r="N287" i="53"/>
  <c r="N275" i="53"/>
  <c r="N279" i="53"/>
  <c r="N298" i="53"/>
  <c r="N280" i="53"/>
  <c r="N300" i="53"/>
  <c r="N296" i="53"/>
  <c r="N294" i="53"/>
  <c r="N301" i="53"/>
  <c r="N273" i="53"/>
  <c r="N302" i="53"/>
  <c r="N286" i="53"/>
  <c r="N283" i="53"/>
  <c r="N291" i="53"/>
  <c r="N102" i="83" s="1"/>
  <c r="N190" i="83" s="1"/>
  <c r="N61" i="71" s="1"/>
  <c r="N284" i="53"/>
  <c r="N272" i="53"/>
  <c r="N274" i="53"/>
  <c r="N277" i="53"/>
  <c r="N290" i="53"/>
  <c r="N101" i="83" s="1"/>
  <c r="N189" i="83" s="1"/>
  <c r="N60" i="71" s="1"/>
  <c r="P273" i="53"/>
  <c r="P290" i="53"/>
  <c r="P277" i="53"/>
  <c r="P295" i="53"/>
  <c r="P287" i="53"/>
  <c r="P283" i="53"/>
  <c r="P284" i="53"/>
  <c r="P296" i="53"/>
  <c r="P298" i="53"/>
  <c r="P294" i="53"/>
  <c r="P299" i="53"/>
  <c r="P302" i="53"/>
  <c r="P276" i="53"/>
  <c r="P275" i="53"/>
  <c r="P272" i="53"/>
  <c r="P279" i="53"/>
  <c r="P286" i="53"/>
  <c r="P300" i="53"/>
  <c r="P274" i="53"/>
  <c r="P288" i="53"/>
  <c r="P291" i="53"/>
  <c r="P285" i="53"/>
  <c r="P289" i="53"/>
  <c r="P278" i="53"/>
  <c r="P301" i="53"/>
  <c r="P280" i="53"/>
  <c r="P297" i="53"/>
  <c r="T149" i="80"/>
  <c r="T175" i="80" s="1"/>
  <c r="M54" i="53"/>
  <c r="T145" i="80"/>
  <c r="T171" i="80" s="1"/>
  <c r="N204" i="80"/>
  <c r="N206" i="80" s="1"/>
  <c r="S206" i="80"/>
  <c r="U150" i="80"/>
  <c r="U143" i="80"/>
  <c r="U169" i="80" s="1"/>
  <c r="W143" i="80"/>
  <c r="W169" i="80" s="1"/>
  <c r="W144" i="80"/>
  <c r="W170" i="80" s="1"/>
  <c r="X145" i="80"/>
  <c r="X171" i="80" s="1"/>
  <c r="X144" i="80"/>
  <c r="X170" i="80" s="1"/>
  <c r="X150" i="80"/>
  <c r="X176" i="80" s="1"/>
  <c r="X143" i="80"/>
  <c r="X169" i="80" s="1"/>
  <c r="X146" i="80"/>
  <c r="X172" i="80" s="1"/>
  <c r="W22" i="71"/>
  <c r="W127" i="71" s="1"/>
  <c r="W149" i="80"/>
  <c r="W175" i="80" s="1"/>
  <c r="Y206" i="80"/>
  <c r="X148" i="80"/>
  <c r="X174" i="80" s="1"/>
  <c r="W142" i="80"/>
  <c r="W168" i="80" s="1"/>
  <c r="X147" i="80"/>
  <c r="X173" i="80" s="1"/>
  <c r="W147" i="80"/>
  <c r="W173" i="80" s="1"/>
  <c r="X142" i="80"/>
  <c r="X168" i="80" s="1"/>
  <c r="W206" i="80"/>
  <c r="T206" i="80"/>
  <c r="U206" i="80"/>
  <c r="X206" i="80"/>
  <c r="X22" i="71"/>
  <c r="X127" i="71" s="1"/>
  <c r="X149" i="80"/>
  <c r="X175" i="80" s="1"/>
  <c r="R206" i="80"/>
  <c r="Q21" i="31"/>
  <c r="Q23" i="31" s="1"/>
  <c r="R20" i="31"/>
  <c r="S99" i="105"/>
  <c r="S109" i="105"/>
  <c r="T208" i="80"/>
  <c r="T176" i="80"/>
  <c r="U157" i="71"/>
  <c r="W195" i="71"/>
  <c r="X191" i="71"/>
  <c r="X190" i="71"/>
  <c r="L195" i="72"/>
  <c r="L225" i="72" s="1"/>
  <c r="Y160" i="71"/>
  <c r="Y136" i="71"/>
  <c r="T165" i="71"/>
  <c r="U191" i="71"/>
  <c r="V162" i="71"/>
  <c r="W192" i="71"/>
  <c r="L196" i="72"/>
  <c r="L226" i="72" s="1"/>
  <c r="V190" i="71"/>
  <c r="U165" i="71"/>
  <c r="U164" i="71"/>
  <c r="T134" i="71"/>
  <c r="V187" i="71"/>
  <c r="V193" i="71"/>
  <c r="U193" i="71"/>
  <c r="T160" i="71"/>
  <c r="W191" i="71"/>
  <c r="T132" i="71"/>
  <c r="W128" i="71"/>
  <c r="K202" i="72"/>
  <c r="K232" i="72" s="1"/>
  <c r="X194" i="71"/>
  <c r="U158" i="71"/>
  <c r="U132" i="71"/>
  <c r="Y163" i="71"/>
  <c r="W165" i="71"/>
  <c r="L201" i="72"/>
  <c r="L231" i="72" s="1"/>
  <c r="V135" i="71"/>
  <c r="K201" i="72"/>
  <c r="K231" i="72" s="1"/>
  <c r="X161" i="71"/>
  <c r="T129" i="71"/>
  <c r="W136" i="71"/>
  <c r="T136" i="71"/>
  <c r="W190" i="71"/>
  <c r="T193" i="71"/>
  <c r="X166" i="71"/>
  <c r="Y161" i="71"/>
  <c r="L199" i="72"/>
  <c r="L229" i="72" s="1"/>
  <c r="Y130" i="71"/>
  <c r="K195" i="72"/>
  <c r="K225" i="72" s="1"/>
  <c r="X129" i="71"/>
  <c r="Y192" i="71"/>
  <c r="U166" i="71"/>
  <c r="T195" i="71"/>
  <c r="W159" i="71"/>
  <c r="U161" i="71"/>
  <c r="U189" i="71"/>
  <c r="K196" i="72"/>
  <c r="K226" i="72" s="1"/>
  <c r="V166" i="71"/>
  <c r="X135" i="71"/>
  <c r="X187" i="71"/>
  <c r="M200" i="72"/>
  <c r="M230" i="72" s="1"/>
  <c r="N200" i="72"/>
  <c r="N230" i="72" s="1"/>
  <c r="T128" i="71"/>
  <c r="V160" i="71"/>
  <c r="V164" i="71"/>
  <c r="M202" i="72"/>
  <c r="M232" i="72" s="1"/>
  <c r="N202" i="72"/>
  <c r="N232" i="72" s="1"/>
  <c r="W133" i="71"/>
  <c r="Y135" i="71"/>
  <c r="N195" i="72"/>
  <c r="N225" i="72" s="1"/>
  <c r="M195" i="72"/>
  <c r="M225" i="72" s="1"/>
  <c r="U160" i="71"/>
  <c r="Y157" i="71"/>
  <c r="T164" i="71"/>
  <c r="V131" i="71"/>
  <c r="X188" i="71"/>
  <c r="T161" i="71"/>
  <c r="V133" i="71"/>
  <c r="V129" i="71"/>
  <c r="Y129" i="71"/>
  <c r="V188" i="71"/>
  <c r="U162" i="71"/>
  <c r="Y193" i="71"/>
  <c r="X136" i="71"/>
  <c r="X159" i="71"/>
  <c r="U196" i="71"/>
  <c r="W189" i="71"/>
  <c r="U129" i="71"/>
  <c r="W164" i="71"/>
  <c r="T158" i="71"/>
  <c r="V134" i="71"/>
  <c r="V161" i="71"/>
  <c r="T131" i="71"/>
  <c r="V189" i="71"/>
  <c r="T190" i="71"/>
  <c r="N199" i="72"/>
  <c r="N229" i="72" s="1"/>
  <c r="M199" i="72"/>
  <c r="M229" i="72" s="1"/>
  <c r="Y128" i="71"/>
  <c r="T192" i="71"/>
  <c r="W188" i="71"/>
  <c r="X192" i="71"/>
  <c r="Y159" i="71"/>
  <c r="X164" i="71"/>
  <c r="U188" i="71"/>
  <c r="M197" i="72"/>
  <c r="M227" i="72" s="1"/>
  <c r="N197" i="72"/>
  <c r="N227" i="72" s="1"/>
  <c r="V158" i="71"/>
  <c r="U192" i="71"/>
  <c r="K197" i="72"/>
  <c r="K227" i="72" s="1"/>
  <c r="L200" i="72"/>
  <c r="L230" i="72" s="1"/>
  <c r="X131" i="71"/>
  <c r="W196" i="71"/>
  <c r="X130" i="71"/>
  <c r="T166" i="71"/>
  <c r="W160" i="71"/>
  <c r="T133" i="71"/>
  <c r="X196" i="71"/>
  <c r="Y191" i="71"/>
  <c r="Y190" i="71"/>
  <c r="X189" i="71"/>
  <c r="Y166" i="71"/>
  <c r="W129" i="71"/>
  <c r="U159" i="71"/>
  <c r="K200" i="72"/>
  <c r="K230" i="72" s="1"/>
  <c r="W134" i="71"/>
  <c r="V132" i="71"/>
  <c r="V136" i="71"/>
  <c r="X157" i="71"/>
  <c r="W162" i="71"/>
  <c r="T188" i="71"/>
  <c r="V130" i="71"/>
  <c r="V194" i="71"/>
  <c r="U135" i="71"/>
  <c r="T157" i="71"/>
  <c r="K198" i="72"/>
  <c r="K228" i="72" s="1"/>
  <c r="U134" i="71"/>
  <c r="Y134" i="71"/>
  <c r="Y187" i="71"/>
  <c r="X158" i="71"/>
  <c r="T191" i="71"/>
  <c r="V159" i="71"/>
  <c r="U163" i="71"/>
  <c r="X163" i="71"/>
  <c r="T162" i="71"/>
  <c r="X132" i="71"/>
  <c r="L202" i="72"/>
  <c r="L232" i="72" s="1"/>
  <c r="V195" i="71"/>
  <c r="T189" i="71"/>
  <c r="Y132" i="71"/>
  <c r="X195" i="71"/>
  <c r="W193" i="71"/>
  <c r="Y195" i="71"/>
  <c r="U130" i="71"/>
  <c r="Y164" i="71"/>
  <c r="W131" i="71"/>
  <c r="Y188" i="71"/>
  <c r="W158" i="71"/>
  <c r="X162" i="71"/>
  <c r="M198" i="72"/>
  <c r="M228" i="72" s="1"/>
  <c r="N198" i="72"/>
  <c r="N228" i="72" s="1"/>
  <c r="Y189" i="71"/>
  <c r="X134" i="71"/>
  <c r="U128" i="71"/>
  <c r="M201" i="72"/>
  <c r="M231" i="72" s="1"/>
  <c r="N201" i="72"/>
  <c r="N231" i="72" s="1"/>
  <c r="V128" i="71"/>
  <c r="U187" i="71"/>
  <c r="Y133" i="71"/>
  <c r="M196" i="72"/>
  <c r="M226" i="72" s="1"/>
  <c r="N196" i="72"/>
  <c r="N226" i="72" s="1"/>
  <c r="W135" i="71"/>
  <c r="L198" i="72"/>
  <c r="L228" i="72" s="1"/>
  <c r="V165" i="71"/>
  <c r="T159" i="71"/>
  <c r="W166" i="71"/>
  <c r="X160" i="71"/>
  <c r="L197" i="72"/>
  <c r="L227" i="72" s="1"/>
  <c r="T196" i="71"/>
  <c r="W130" i="71"/>
  <c r="T163" i="71"/>
  <c r="Y131" i="71"/>
  <c r="Y162" i="71"/>
  <c r="Y196" i="71"/>
  <c r="U136" i="71"/>
  <c r="T135" i="71"/>
  <c r="U131" i="71"/>
  <c r="W194" i="71"/>
  <c r="V192" i="71"/>
  <c r="K199" i="72"/>
  <c r="K229" i="72" s="1"/>
  <c r="V196" i="71"/>
  <c r="X165" i="71"/>
  <c r="W132" i="71"/>
  <c r="W163" i="71"/>
  <c r="U195" i="71"/>
  <c r="Y165" i="71"/>
  <c r="U190" i="71"/>
  <c r="U194" i="71"/>
  <c r="Y194" i="71"/>
  <c r="T194" i="71"/>
  <c r="V157" i="71"/>
  <c r="V191" i="71"/>
  <c r="X128" i="71"/>
  <c r="V163" i="71"/>
  <c r="U133" i="71"/>
  <c r="H38" i="111" a="1"/>
  <c r="H38" i="111" s="1"/>
  <c r="J44" i="55" s="1"/>
  <c r="W150" i="80" l="1"/>
  <c r="W208" i="80" s="1"/>
  <c r="R135" i="65"/>
  <c r="R50" i="105" s="1"/>
  <c r="R89" i="105" s="1"/>
  <c r="R124" i="65"/>
  <c r="R153" i="65" s="1"/>
  <c r="R115" i="65"/>
  <c r="R144" i="65" s="1"/>
  <c r="R59" i="105" s="1"/>
  <c r="R175" i="105" s="1"/>
  <c r="M91" i="53"/>
  <c r="M93" i="53" s="1"/>
  <c r="J91" i="53"/>
  <c r="J93" i="53" s="1"/>
  <c r="L91" i="53"/>
  <c r="L93" i="53" s="1"/>
  <c r="K91" i="53"/>
  <c r="K93" i="53" s="1"/>
  <c r="Y176" i="80"/>
  <c r="Y177" i="80" s="1"/>
  <c r="V208" i="80"/>
  <c r="V177" i="80"/>
  <c r="N101" i="80"/>
  <c r="N113" i="80" s="1"/>
  <c r="T177" i="80"/>
  <c r="N100" i="80"/>
  <c r="N112" i="80" s="1"/>
  <c r="N86" i="83"/>
  <c r="N157" i="83" s="1"/>
  <c r="N27" i="71" s="1"/>
  <c r="N132" i="71" s="1"/>
  <c r="N76" i="80"/>
  <c r="N88" i="80" s="1"/>
  <c r="N114" i="83"/>
  <c r="N219" i="83" s="1"/>
  <c r="N91" i="71" s="1"/>
  <c r="N196" i="71" s="1"/>
  <c r="N71" i="80"/>
  <c r="N83" i="80" s="1"/>
  <c r="N116" i="80"/>
  <c r="N128" i="80" s="1"/>
  <c r="N111" i="83"/>
  <c r="N216" i="83" s="1"/>
  <c r="N88" i="71" s="1"/>
  <c r="N193" i="71" s="1"/>
  <c r="N94" i="80"/>
  <c r="N106" i="80" s="1"/>
  <c r="N119" i="80"/>
  <c r="N131" i="80" s="1"/>
  <c r="N107" i="83"/>
  <c r="N212" i="83" s="1"/>
  <c r="N84" i="71" s="1"/>
  <c r="N189" i="71" s="1"/>
  <c r="N96" i="80"/>
  <c r="N108" i="80" s="1"/>
  <c r="N72" i="80"/>
  <c r="N84" i="80" s="1"/>
  <c r="N89" i="83"/>
  <c r="N160" i="83" s="1"/>
  <c r="N30" i="71" s="1"/>
  <c r="N135" i="71" s="1"/>
  <c r="N81" i="83"/>
  <c r="N152" i="83" s="1"/>
  <c r="N22" i="71" s="1"/>
  <c r="N127" i="71" s="1"/>
  <c r="N108" i="83"/>
  <c r="N213" i="83" s="1"/>
  <c r="N85" i="71" s="1"/>
  <c r="N190" i="71" s="1"/>
  <c r="N95" i="80"/>
  <c r="N107" i="80" s="1"/>
  <c r="N87" i="83"/>
  <c r="N158" i="83" s="1"/>
  <c r="N28" i="71" s="1"/>
  <c r="N133" i="71" s="1"/>
  <c r="N98" i="83"/>
  <c r="N186" i="83" s="1"/>
  <c r="N57" i="71" s="1"/>
  <c r="N162" i="71" s="1"/>
  <c r="N94" i="83"/>
  <c r="N182" i="83" s="1"/>
  <c r="N53" i="71" s="1"/>
  <c r="N158" i="71" s="1"/>
  <c r="N78" i="80"/>
  <c r="N90" i="80" s="1"/>
  <c r="N113" i="83"/>
  <c r="N218" i="83" s="1"/>
  <c r="N90" i="71" s="1"/>
  <c r="N195" i="71" s="1"/>
  <c r="N112" i="83"/>
  <c r="N217" i="83" s="1"/>
  <c r="N89" i="71" s="1"/>
  <c r="N194" i="71" s="1"/>
  <c r="N85" i="83"/>
  <c r="N156" i="83" s="1"/>
  <c r="N26" i="71" s="1"/>
  <c r="N131" i="71" s="1"/>
  <c r="N100" i="83"/>
  <c r="N188" i="83" s="1"/>
  <c r="N59" i="71" s="1"/>
  <c r="N164" i="71" s="1"/>
  <c r="N99" i="83"/>
  <c r="N187" i="83" s="1"/>
  <c r="N58" i="71" s="1"/>
  <c r="N163" i="71" s="1"/>
  <c r="N120" i="80"/>
  <c r="N132" i="80" s="1"/>
  <c r="U176" i="80"/>
  <c r="U177" i="80" s="1"/>
  <c r="U208" i="80"/>
  <c r="N123" i="80"/>
  <c r="N135" i="80" s="1"/>
  <c r="X208" i="80"/>
  <c r="W176" i="80"/>
  <c r="W177" i="80" s="1"/>
  <c r="N106" i="83"/>
  <c r="N211" i="83" s="1"/>
  <c r="N83" i="71" s="1"/>
  <c r="N188" i="71" s="1"/>
  <c r="N95" i="83"/>
  <c r="N183" i="83" s="1"/>
  <c r="N54" i="71" s="1"/>
  <c r="N159" i="71" s="1"/>
  <c r="X177" i="80"/>
  <c r="N117" i="80"/>
  <c r="N129" i="80" s="1"/>
  <c r="N105" i="83"/>
  <c r="N210" i="83" s="1"/>
  <c r="N82" i="71" s="1"/>
  <c r="N187" i="71" s="1"/>
  <c r="R21" i="31"/>
  <c r="R23" i="31" s="1"/>
  <c r="S20" i="31"/>
  <c r="S21" i="31" s="1"/>
  <c r="S23" i="31" s="1"/>
  <c r="N74" i="80"/>
  <c r="N86" i="80" s="1"/>
  <c r="N124" i="80"/>
  <c r="N136" i="80" s="1"/>
  <c r="S98" i="105"/>
  <c r="S100" i="105"/>
  <c r="S108" i="105"/>
  <c r="O110" i="83"/>
  <c r="O215" i="83" s="1"/>
  <c r="O87" i="71" s="1"/>
  <c r="O120" i="80"/>
  <c r="O132" i="80" s="1"/>
  <c r="O114" i="83"/>
  <c r="O219" i="83" s="1"/>
  <c r="O91" i="71" s="1"/>
  <c r="O124" i="80"/>
  <c r="O136" i="80" s="1"/>
  <c r="O96" i="83"/>
  <c r="O184" i="83" s="1"/>
  <c r="O55" i="71" s="1"/>
  <c r="O95" i="80"/>
  <c r="O107" i="80" s="1"/>
  <c r="O113" i="83"/>
  <c r="O218" i="83" s="1"/>
  <c r="O90" i="71" s="1"/>
  <c r="O123" i="80"/>
  <c r="O135" i="80" s="1"/>
  <c r="O84" i="83"/>
  <c r="O155" i="83" s="1"/>
  <c r="O25" i="71" s="1"/>
  <c r="O72" i="80"/>
  <c r="O84" i="80" s="1"/>
  <c r="O83" i="83"/>
  <c r="O154" i="83" s="1"/>
  <c r="O24" i="71" s="1"/>
  <c r="O71" i="80"/>
  <c r="O83" i="80" s="1"/>
  <c r="O97" i="83"/>
  <c r="O185" i="83" s="1"/>
  <c r="O56" i="71" s="1"/>
  <c r="O96" i="80"/>
  <c r="O108" i="80" s="1"/>
  <c r="P107" i="83"/>
  <c r="P212" i="83" s="1"/>
  <c r="P84" i="71" s="1"/>
  <c r="P117" i="80"/>
  <c r="P129" i="80" s="1"/>
  <c r="P114" i="83"/>
  <c r="P219" i="83" s="1"/>
  <c r="P91" i="71" s="1"/>
  <c r="P124" i="80"/>
  <c r="P136" i="80" s="1"/>
  <c r="P112" i="83"/>
  <c r="P217" i="83" s="1"/>
  <c r="P89" i="71" s="1"/>
  <c r="P122" i="80"/>
  <c r="P134" i="80" s="1"/>
  <c r="P94" i="83"/>
  <c r="P182" i="83" s="1"/>
  <c r="P53" i="71" s="1"/>
  <c r="P93" i="83"/>
  <c r="P181" i="83" s="1"/>
  <c r="P52" i="71" s="1"/>
  <c r="P93" i="80"/>
  <c r="P105" i="80" s="1"/>
  <c r="P82" i="83"/>
  <c r="P153" i="83" s="1"/>
  <c r="P23" i="71" s="1"/>
  <c r="P81" i="83"/>
  <c r="P152" i="83" s="1"/>
  <c r="P22" i="71" s="1"/>
  <c r="P70" i="80"/>
  <c r="P82" i="80" s="1"/>
  <c r="P88" i="83"/>
  <c r="P159" i="83" s="1"/>
  <c r="P29" i="71" s="1"/>
  <c r="P76" i="80"/>
  <c r="P88" i="80" s="1"/>
  <c r="O109" i="83"/>
  <c r="O214" i="83" s="1"/>
  <c r="O86" i="71" s="1"/>
  <c r="O119" i="80"/>
  <c r="O131" i="80" s="1"/>
  <c r="O82" i="83"/>
  <c r="O153" i="83" s="1"/>
  <c r="O23" i="71" s="1"/>
  <c r="O81" i="83"/>
  <c r="O152" i="83" s="1"/>
  <c r="O22" i="71" s="1"/>
  <c r="O70" i="80"/>
  <c r="O82" i="80" s="1"/>
  <c r="O89" i="83"/>
  <c r="O160" i="83" s="1"/>
  <c r="O30" i="71" s="1"/>
  <c r="O77" i="80"/>
  <c r="O89" i="80" s="1"/>
  <c r="O90" i="83"/>
  <c r="O161" i="83" s="1"/>
  <c r="O31" i="71" s="1"/>
  <c r="O78" i="80"/>
  <c r="O90" i="80" s="1"/>
  <c r="O111" i="83"/>
  <c r="O216" i="83" s="1"/>
  <c r="O88" i="71" s="1"/>
  <c r="O121" i="80"/>
  <c r="O133" i="80" s="1"/>
  <c r="O88" i="83"/>
  <c r="O159" i="83" s="1"/>
  <c r="O29" i="71" s="1"/>
  <c r="O76" i="80"/>
  <c r="O88" i="80" s="1"/>
  <c r="P95" i="83"/>
  <c r="P183" i="83" s="1"/>
  <c r="P54" i="71" s="1"/>
  <c r="P94" i="80"/>
  <c r="P106" i="80" s="1"/>
  <c r="P90" i="83"/>
  <c r="P161" i="83" s="1"/>
  <c r="P31" i="71" s="1"/>
  <c r="P78" i="80"/>
  <c r="P90" i="80" s="1"/>
  <c r="P84" i="83"/>
  <c r="P155" i="83" s="1"/>
  <c r="P25" i="71" s="1"/>
  <c r="P72" i="80"/>
  <c r="P84" i="80" s="1"/>
  <c r="P99" i="83"/>
  <c r="P187" i="83" s="1"/>
  <c r="P58" i="71" s="1"/>
  <c r="P98" i="80"/>
  <c r="P110" i="80" s="1"/>
  <c r="P113" i="83"/>
  <c r="P218" i="83" s="1"/>
  <c r="P90" i="71" s="1"/>
  <c r="P123" i="80"/>
  <c r="P135" i="80" s="1"/>
  <c r="P87" i="83"/>
  <c r="P158" i="83" s="1"/>
  <c r="P28" i="71" s="1"/>
  <c r="P75" i="80"/>
  <c r="P87" i="80" s="1"/>
  <c r="P110" i="83"/>
  <c r="P215" i="83" s="1"/>
  <c r="P87" i="71" s="1"/>
  <c r="P120" i="80"/>
  <c r="P132" i="80" s="1"/>
  <c r="O108" i="83"/>
  <c r="O213" i="83" s="1"/>
  <c r="O85" i="71" s="1"/>
  <c r="O118" i="80"/>
  <c r="O130" i="80" s="1"/>
  <c r="O87" i="83"/>
  <c r="O158" i="83" s="1"/>
  <c r="O28" i="71" s="1"/>
  <c r="O75" i="80"/>
  <c r="O87" i="80" s="1"/>
  <c r="O106" i="83"/>
  <c r="O211" i="83" s="1"/>
  <c r="O83" i="71" s="1"/>
  <c r="O105" i="83"/>
  <c r="O210" i="83" s="1"/>
  <c r="O82" i="71" s="1"/>
  <c r="O116" i="80"/>
  <c r="O128" i="80" s="1"/>
  <c r="O102" i="83"/>
  <c r="O190" i="83" s="1"/>
  <c r="O61" i="71" s="1"/>
  <c r="O101" i="80"/>
  <c r="O113" i="80" s="1"/>
  <c r="O107" i="83"/>
  <c r="O212" i="83" s="1"/>
  <c r="O84" i="71" s="1"/>
  <c r="O117" i="80"/>
  <c r="O129" i="80" s="1"/>
  <c r="O85" i="83"/>
  <c r="O156" i="83" s="1"/>
  <c r="O26" i="71" s="1"/>
  <c r="O73" i="80"/>
  <c r="O85" i="80" s="1"/>
  <c r="O101" i="83"/>
  <c r="O189" i="83" s="1"/>
  <c r="O60" i="71" s="1"/>
  <c r="O100" i="80"/>
  <c r="O112" i="80" s="1"/>
  <c r="P111" i="83"/>
  <c r="P216" i="83" s="1"/>
  <c r="P88" i="71" s="1"/>
  <c r="P121" i="80"/>
  <c r="P133" i="80" s="1"/>
  <c r="P98" i="83"/>
  <c r="P186" i="83" s="1"/>
  <c r="P57" i="71" s="1"/>
  <c r="P97" i="80"/>
  <c r="P109" i="80" s="1"/>
  <c r="P102" i="83"/>
  <c r="P190" i="83" s="1"/>
  <c r="P61" i="71" s="1"/>
  <c r="P101" i="80"/>
  <c r="P113" i="80" s="1"/>
  <c r="P97" i="83"/>
  <c r="P185" i="83" s="1"/>
  <c r="P56" i="71" s="1"/>
  <c r="P96" i="80"/>
  <c r="P108" i="80" s="1"/>
  <c r="P96" i="83"/>
  <c r="P184" i="83" s="1"/>
  <c r="P55" i="71" s="1"/>
  <c r="P95" i="80"/>
  <c r="P107" i="80" s="1"/>
  <c r="P109" i="83"/>
  <c r="P214" i="83" s="1"/>
  <c r="P86" i="71" s="1"/>
  <c r="P119" i="80"/>
  <c r="P131" i="80" s="1"/>
  <c r="P108" i="83"/>
  <c r="P213" i="83" s="1"/>
  <c r="P85" i="71" s="1"/>
  <c r="P118" i="80"/>
  <c r="P130" i="80" s="1"/>
  <c r="O99" i="83"/>
  <c r="O187" i="83" s="1"/>
  <c r="O58" i="71" s="1"/>
  <c r="O98" i="80"/>
  <c r="O110" i="80" s="1"/>
  <c r="O94" i="83"/>
  <c r="O182" i="83" s="1"/>
  <c r="O53" i="71" s="1"/>
  <c r="O93" i="83"/>
  <c r="O181" i="83" s="1"/>
  <c r="O52" i="71" s="1"/>
  <c r="O93" i="80"/>
  <c r="O105" i="80" s="1"/>
  <c r="O86" i="83"/>
  <c r="O157" i="83" s="1"/>
  <c r="O27" i="71" s="1"/>
  <c r="O74" i="80"/>
  <c r="O86" i="80" s="1"/>
  <c r="O100" i="83"/>
  <c r="O188" i="83" s="1"/>
  <c r="O59" i="71" s="1"/>
  <c r="O99" i="80"/>
  <c r="O111" i="80" s="1"/>
  <c r="O95" i="83"/>
  <c r="O183" i="83" s="1"/>
  <c r="O54" i="71" s="1"/>
  <c r="O94" i="80"/>
  <c r="O106" i="80" s="1"/>
  <c r="O98" i="83"/>
  <c r="O186" i="83" s="1"/>
  <c r="O57" i="71" s="1"/>
  <c r="O97" i="80"/>
  <c r="O109" i="80" s="1"/>
  <c r="O112" i="83"/>
  <c r="O217" i="83" s="1"/>
  <c r="O89" i="71" s="1"/>
  <c r="O122" i="80"/>
  <c r="O134" i="80" s="1"/>
  <c r="P89" i="83"/>
  <c r="P160" i="83" s="1"/>
  <c r="P30" i="71" s="1"/>
  <c r="P77" i="80"/>
  <c r="P89" i="80" s="1"/>
  <c r="P101" i="83"/>
  <c r="P189" i="83" s="1"/>
  <c r="P60" i="71" s="1"/>
  <c r="P100" i="80"/>
  <c r="P112" i="80" s="1"/>
  <c r="P85" i="83"/>
  <c r="P156" i="83" s="1"/>
  <c r="P26" i="71" s="1"/>
  <c r="P73" i="80"/>
  <c r="P85" i="80" s="1"/>
  <c r="P106" i="83"/>
  <c r="P211" i="83" s="1"/>
  <c r="P83" i="71" s="1"/>
  <c r="P105" i="83"/>
  <c r="P210" i="83" s="1"/>
  <c r="P82" i="71" s="1"/>
  <c r="P116" i="80"/>
  <c r="P128" i="80" s="1"/>
  <c r="P100" i="83"/>
  <c r="P188" i="83" s="1"/>
  <c r="P59" i="71" s="1"/>
  <c r="P99" i="80"/>
  <c r="P111" i="80" s="1"/>
  <c r="P86" i="83"/>
  <c r="P157" i="83" s="1"/>
  <c r="P27" i="71" s="1"/>
  <c r="P74" i="80"/>
  <c r="P86" i="80" s="1"/>
  <c r="P83" i="83"/>
  <c r="P154" i="83" s="1"/>
  <c r="P24" i="71" s="1"/>
  <c r="P71" i="80"/>
  <c r="P83" i="80" s="1"/>
  <c r="A4" i="111"/>
  <c r="N166" i="71"/>
  <c r="R73" i="74"/>
  <c r="R72" i="74"/>
  <c r="N191" i="71"/>
  <c r="N165" i="71"/>
  <c r="R68" i="105"/>
  <c r="R186" i="105" s="1"/>
  <c r="R76" i="74"/>
  <c r="R75" i="74"/>
  <c r="R78" i="74"/>
  <c r="R77" i="74"/>
  <c r="R74" i="74"/>
  <c r="R56" i="41"/>
  <c r="R134" i="65" l="1"/>
  <c r="R49" i="105" s="1"/>
  <c r="R88" i="105" s="1"/>
  <c r="R114" i="65"/>
  <c r="R143" i="65" s="1"/>
  <c r="R123" i="65"/>
  <c r="R152" i="65" s="1"/>
  <c r="R67" i="105" s="1"/>
  <c r="R185" i="105" s="1"/>
  <c r="M279" i="53"/>
  <c r="M294" i="53"/>
  <c r="M278" i="53"/>
  <c r="M277" i="53"/>
  <c r="M75" i="80" s="1"/>
  <c r="M87" i="80" s="1"/>
  <c r="M286" i="53"/>
  <c r="M301" i="53"/>
  <c r="M275" i="53"/>
  <c r="M298" i="53"/>
  <c r="J296" i="53"/>
  <c r="J275" i="53"/>
  <c r="J295" i="53"/>
  <c r="J285" i="53"/>
  <c r="J287" i="53"/>
  <c r="J299" i="53"/>
  <c r="J294" i="53"/>
  <c r="J280" i="53"/>
  <c r="J289" i="53"/>
  <c r="J277" i="53"/>
  <c r="J291" i="53"/>
  <c r="J273" i="53"/>
  <c r="J283" i="53"/>
  <c r="J290" i="53"/>
  <c r="J300" i="53"/>
  <c r="J288" i="53"/>
  <c r="J278" i="53"/>
  <c r="J276" i="53"/>
  <c r="J286" i="53"/>
  <c r="J284" i="53"/>
  <c r="J301" i="53"/>
  <c r="J279" i="53"/>
  <c r="J302" i="53"/>
  <c r="J274" i="53"/>
  <c r="J297" i="53"/>
  <c r="J272" i="53"/>
  <c r="J298" i="53"/>
  <c r="L284" i="53"/>
  <c r="L295" i="53"/>
  <c r="L274" i="53"/>
  <c r="L278" i="53"/>
  <c r="L289" i="53"/>
  <c r="L294" i="53"/>
  <c r="L297" i="53"/>
  <c r="L279" i="53"/>
  <c r="L272" i="53"/>
  <c r="L302" i="53"/>
  <c r="L300" i="53"/>
  <c r="L299" i="53"/>
  <c r="L285" i="53"/>
  <c r="L277" i="53"/>
  <c r="L296" i="53"/>
  <c r="L287" i="53"/>
  <c r="L291" i="53"/>
  <c r="L288" i="53"/>
  <c r="L273" i="53"/>
  <c r="L280" i="53"/>
  <c r="L283" i="53"/>
  <c r="L298" i="53"/>
  <c r="L276" i="53"/>
  <c r="L286" i="53"/>
  <c r="L275" i="53"/>
  <c r="L301" i="53"/>
  <c r="L290" i="53"/>
  <c r="K279" i="53"/>
  <c r="K290" i="53"/>
  <c r="K272" i="53"/>
  <c r="K284" i="53"/>
  <c r="K295" i="53"/>
  <c r="K277" i="53"/>
  <c r="K301" i="53"/>
  <c r="K302" i="53"/>
  <c r="K299" i="53"/>
  <c r="K274" i="53"/>
  <c r="K278" i="53"/>
  <c r="K288" i="53"/>
  <c r="K276" i="53"/>
  <c r="K296" i="53"/>
  <c r="K285" i="53"/>
  <c r="K300" i="53"/>
  <c r="K287" i="53"/>
  <c r="K289" i="53"/>
  <c r="K297" i="53"/>
  <c r="K294" i="53"/>
  <c r="K286" i="53"/>
  <c r="K283" i="53"/>
  <c r="K291" i="53"/>
  <c r="K280" i="53"/>
  <c r="K273" i="53"/>
  <c r="K275" i="53"/>
  <c r="K298" i="53"/>
  <c r="M272" i="53"/>
  <c r="M276" i="53"/>
  <c r="M287" i="53"/>
  <c r="M302" i="53"/>
  <c r="M296" i="53"/>
  <c r="M299" i="53"/>
  <c r="M111" i="83" s="1"/>
  <c r="M216" i="83" s="1"/>
  <c r="M88" i="71" s="1"/>
  <c r="M193" i="71" s="1"/>
  <c r="M289" i="53"/>
  <c r="M300" i="53"/>
  <c r="M280" i="53"/>
  <c r="M291" i="53"/>
  <c r="M290" i="53"/>
  <c r="M288" i="53"/>
  <c r="M99" i="83" s="1"/>
  <c r="M187" i="83" s="1"/>
  <c r="M58" i="71" s="1"/>
  <c r="M163" i="71" s="1"/>
  <c r="M284" i="53"/>
  <c r="M274" i="53"/>
  <c r="M295" i="53"/>
  <c r="M297" i="53"/>
  <c r="M285" i="53"/>
  <c r="M283" i="53"/>
  <c r="M273" i="53"/>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N118" i="80"/>
  <c r="N130" i="80" s="1"/>
  <c r="N144" i="80" s="1"/>
  <c r="N170" i="80" s="1"/>
  <c r="N99" i="80"/>
  <c r="N111" i="80" s="1"/>
  <c r="N73" i="80"/>
  <c r="N85" i="80" s="1"/>
  <c r="N145" i="80" s="1"/>
  <c r="N171" i="80" s="1"/>
  <c r="N90" i="83"/>
  <c r="N161" i="83" s="1"/>
  <c r="N31" i="71" s="1"/>
  <c r="N136" i="71" s="1"/>
  <c r="N96" i="83"/>
  <c r="N184" i="83" s="1"/>
  <c r="N55" i="71" s="1"/>
  <c r="N160" i="71" s="1"/>
  <c r="N110" i="83"/>
  <c r="N215" i="83" s="1"/>
  <c r="N87" i="71" s="1"/>
  <c r="N192" i="71" s="1"/>
  <c r="N84" i="83"/>
  <c r="N155" i="83" s="1"/>
  <c r="N25" i="71" s="1"/>
  <c r="N130" i="71" s="1"/>
  <c r="N97" i="80"/>
  <c r="N109" i="80" s="1"/>
  <c r="N146" i="80" s="1"/>
  <c r="N172" i="80" s="1"/>
  <c r="N122" i="80"/>
  <c r="N134" i="80" s="1"/>
  <c r="N82" i="83"/>
  <c r="N153" i="83" s="1"/>
  <c r="N23" i="71" s="1"/>
  <c r="N128" i="71" s="1"/>
  <c r="N70" i="80"/>
  <c r="N82" i="80" s="1"/>
  <c r="N121" i="80"/>
  <c r="N133" i="80" s="1"/>
  <c r="N83" i="83"/>
  <c r="N154" i="83" s="1"/>
  <c r="N24" i="71" s="1"/>
  <c r="N129" i="71" s="1"/>
  <c r="N88" i="83"/>
  <c r="N159" i="83" s="1"/>
  <c r="N29" i="71" s="1"/>
  <c r="N134" i="71" s="1"/>
  <c r="N98" i="80"/>
  <c r="N110" i="80" s="1"/>
  <c r="N77" i="80"/>
  <c r="N89" i="80" s="1"/>
  <c r="N149" i="80" s="1"/>
  <c r="N175" i="80" s="1"/>
  <c r="N93" i="83"/>
  <c r="N181" i="83" s="1"/>
  <c r="N52" i="71" s="1"/>
  <c r="N157" i="71" s="1"/>
  <c r="N93" i="80"/>
  <c r="N105" i="80" s="1"/>
  <c r="N75" i="80"/>
  <c r="N87" i="80" s="1"/>
  <c r="N97" i="83"/>
  <c r="N185" i="83" s="1"/>
  <c r="N56" i="71" s="1"/>
  <c r="N161" i="71" s="1"/>
  <c r="N150" i="80"/>
  <c r="N176" i="80" s="1"/>
  <c r="N143" i="80"/>
  <c r="N169" i="80" s="1"/>
  <c r="H214" i="80" a="1"/>
  <c r="H183" i="31" a="1"/>
  <c r="H183" i="31" s="1"/>
  <c r="O145" i="80"/>
  <c r="O171" i="80" s="1"/>
  <c r="P146" i="80"/>
  <c r="P172" i="80" s="1"/>
  <c r="P143" i="80"/>
  <c r="P169" i="80" s="1"/>
  <c r="P145" i="80"/>
  <c r="P171" i="80" s="1"/>
  <c r="P149" i="80"/>
  <c r="P175" i="80"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P144" i="80"/>
  <c r="P170" i="80" s="1"/>
  <c r="O149" i="80"/>
  <c r="O175" i="80" s="1"/>
  <c r="P142" i="80"/>
  <c r="P168" i="80" s="1"/>
  <c r="O144" i="80"/>
  <c r="O170"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O147" i="80"/>
  <c r="O173"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O146" i="80"/>
  <c r="O172" i="80" s="1"/>
  <c r="P147" i="80"/>
  <c r="P173" i="80" s="1"/>
  <c r="P150" i="80"/>
  <c r="O148" i="80"/>
  <c r="O174" i="80" s="1"/>
  <c r="O150" i="80"/>
  <c r="O142" i="80"/>
  <c r="O168" i="80" s="1"/>
  <c r="P148" i="80"/>
  <c r="P174" i="80" s="1"/>
  <c r="O143" i="80"/>
  <c r="O169" i="80" s="1"/>
  <c r="O99" i="105"/>
  <c r="R58" i="105"/>
  <c r="R174" i="105" s="1"/>
  <c r="R99" i="105"/>
  <c r="P99" i="105"/>
  <c r="R109" i="105"/>
  <c r="R55" i="41"/>
  <c r="M87" i="83" l="1"/>
  <c r="M158" i="83" s="1"/>
  <c r="M28" i="71" s="1"/>
  <c r="M133" i="71" s="1"/>
  <c r="N148" i="80"/>
  <c r="N174" i="80" s="1"/>
  <c r="N142" i="80"/>
  <c r="N168" i="80" s="1"/>
  <c r="N208" i="80"/>
  <c r="N147" i="80"/>
  <c r="N173" i="80" s="1"/>
  <c r="K96" i="83"/>
  <c r="K184" i="83" s="1"/>
  <c r="K55" i="71" s="1"/>
  <c r="K160" i="71" s="1"/>
  <c r="L96" i="83"/>
  <c r="L184" i="83" s="1"/>
  <c r="L55" i="71" s="1"/>
  <c r="L160" i="71" s="1"/>
  <c r="M121" i="80"/>
  <c r="M133" i="80" s="1"/>
  <c r="L90" i="83"/>
  <c r="L161" i="83" s="1"/>
  <c r="L31" i="71" s="1"/>
  <c r="L136" i="71" s="1"/>
  <c r="H222" i="80"/>
  <c r="H220" i="80"/>
  <c r="H232" i="80" s="1"/>
  <c r="H221" i="80"/>
  <c r="H233" i="80" s="1"/>
  <c r="H217" i="80"/>
  <c r="H229" i="80" s="1"/>
  <c r="H214" i="80"/>
  <c r="H226" i="80" s="1"/>
  <c r="H216" i="80"/>
  <c r="H228" i="80" s="1"/>
  <c r="H218" i="80"/>
  <c r="H230" i="80" s="1"/>
  <c r="H215" i="80"/>
  <c r="H227" i="80" s="1"/>
  <c r="H219" i="80"/>
  <c r="H231" i="80" s="1"/>
  <c r="R148" i="80"/>
  <c r="R174" i="80" s="1"/>
  <c r="S144" i="80"/>
  <c r="S170" i="80" s="1"/>
  <c r="R142" i="80"/>
  <c r="R168" i="80" s="1"/>
  <c r="J39" i="55"/>
  <c r="A4" i="31"/>
  <c r="S143" i="80"/>
  <c r="S169" i="80" s="1"/>
  <c r="M98" i="80"/>
  <c r="M110" i="80" s="1"/>
  <c r="K73" i="80"/>
  <c r="K85" i="80" s="1"/>
  <c r="L116" i="80"/>
  <c r="L128" i="80" s="1"/>
  <c r="S150" i="80"/>
  <c r="S208" i="80" s="1"/>
  <c r="L112" i="83"/>
  <c r="L217" i="83" s="1"/>
  <c r="L89" i="71" s="1"/>
  <c r="L194" i="71" s="1"/>
  <c r="R146" i="80"/>
  <c r="R172" i="80" s="1"/>
  <c r="L98" i="80"/>
  <c r="L110" i="80" s="1"/>
  <c r="L81" i="83"/>
  <c r="L152" i="83" s="1"/>
  <c r="L89" i="83"/>
  <c r="L160" i="83" s="1"/>
  <c r="L30" i="71" s="1"/>
  <c r="L135" i="71" s="1"/>
  <c r="K77" i="80"/>
  <c r="K89" i="80" s="1"/>
  <c r="S142" i="80"/>
  <c r="S168" i="80" s="1"/>
  <c r="L101" i="83"/>
  <c r="L189" i="83" s="1"/>
  <c r="L60" i="71" s="1"/>
  <c r="L165" i="71" s="1"/>
  <c r="K84" i="83"/>
  <c r="K155" i="83" s="1"/>
  <c r="K25" i="71" s="1"/>
  <c r="K130" i="71" s="1"/>
  <c r="L98" i="83"/>
  <c r="L186" i="83" s="1"/>
  <c r="L57" i="71" s="1"/>
  <c r="L162" i="71" s="1"/>
  <c r="K101" i="83"/>
  <c r="K189" i="83" s="1"/>
  <c r="K60" i="71" s="1"/>
  <c r="K165" i="71" s="1"/>
  <c r="L74" i="80"/>
  <c r="L86" i="80" s="1"/>
  <c r="S22" i="71"/>
  <c r="K102" i="83"/>
  <c r="K190" i="83" s="1"/>
  <c r="K61" i="71" s="1"/>
  <c r="K166" i="71" s="1"/>
  <c r="K101" i="80"/>
  <c r="K113" i="80" s="1"/>
  <c r="L109" i="83"/>
  <c r="L214" i="83" s="1"/>
  <c r="L86" i="71" s="1"/>
  <c r="L191" i="71" s="1"/>
  <c r="L119" i="80"/>
  <c r="L131" i="80" s="1"/>
  <c r="L102" i="83"/>
  <c r="L190" i="83" s="1"/>
  <c r="L61" i="71" s="1"/>
  <c r="L166" i="71" s="1"/>
  <c r="L101" i="80"/>
  <c r="L113" i="80" s="1"/>
  <c r="K114" i="83"/>
  <c r="K219" i="83" s="1"/>
  <c r="K91" i="71" s="1"/>
  <c r="K196" i="71" s="1"/>
  <c r="K124" i="80"/>
  <c r="K136" i="80" s="1"/>
  <c r="K95" i="83"/>
  <c r="K183" i="83" s="1"/>
  <c r="K54" i="71" s="1"/>
  <c r="K159" i="71" s="1"/>
  <c r="K94" i="80"/>
  <c r="K106" i="80" s="1"/>
  <c r="K112" i="83"/>
  <c r="K217" i="83" s="1"/>
  <c r="K89" i="71" s="1"/>
  <c r="K194" i="71" s="1"/>
  <c r="K122" i="80"/>
  <c r="K134" i="80" s="1"/>
  <c r="K99" i="83"/>
  <c r="K187" i="83" s="1"/>
  <c r="K58" i="71" s="1"/>
  <c r="K163" i="71" s="1"/>
  <c r="K98" i="80"/>
  <c r="K110" i="80" s="1"/>
  <c r="P208" i="80"/>
  <c r="P176" i="80"/>
  <c r="P177" i="80" s="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L107" i="83"/>
  <c r="L212" i="83" s="1"/>
  <c r="L84" i="71" s="1"/>
  <c r="L189" i="71" s="1"/>
  <c r="L117" i="80"/>
  <c r="L129" i="80" s="1"/>
  <c r="L87" i="83"/>
  <c r="L158" i="83" s="1"/>
  <c r="L28" i="71" s="1"/>
  <c r="L133" i="71" s="1"/>
  <c r="L75" i="80"/>
  <c r="L87" i="80" s="1"/>
  <c r="L84" i="83"/>
  <c r="L155" i="83" s="1"/>
  <c r="L25" i="71" s="1"/>
  <c r="L130" i="71" s="1"/>
  <c r="L72" i="80"/>
  <c r="L84"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L94" i="83"/>
  <c r="L182" i="83" s="1"/>
  <c r="L53" i="71" s="1"/>
  <c r="L158" i="71" s="1"/>
  <c r="L93" i="83"/>
  <c r="L181" i="83" s="1"/>
  <c r="L93" i="80"/>
  <c r="L105" i="80" s="1"/>
  <c r="K86" i="83"/>
  <c r="K157" i="83" s="1"/>
  <c r="K27" i="71" s="1"/>
  <c r="K132" i="71" s="1"/>
  <c r="K74" i="80"/>
  <c r="K86" i="80" s="1"/>
  <c r="L100" i="83"/>
  <c r="L188" i="83" s="1"/>
  <c r="L59" i="71" s="1"/>
  <c r="L164" i="71" s="1"/>
  <c r="L99" i="80"/>
  <c r="L111" i="80" s="1"/>
  <c r="K111" i="83"/>
  <c r="K216" i="83" s="1"/>
  <c r="K88" i="71" s="1"/>
  <c r="K193" i="71" s="1"/>
  <c r="K121" i="80"/>
  <c r="K133" i="80" s="1"/>
  <c r="K97" i="83"/>
  <c r="K185" i="83" s="1"/>
  <c r="K56" i="71" s="1"/>
  <c r="K161" i="71" s="1"/>
  <c r="K96" i="80"/>
  <c r="K108" i="80" s="1"/>
  <c r="K108" i="83"/>
  <c r="K213" i="83" s="1"/>
  <c r="K85" i="71" s="1"/>
  <c r="K190" i="71" s="1"/>
  <c r="K118" i="80"/>
  <c r="K130" i="80" s="1"/>
  <c r="K87" i="83"/>
  <c r="K158" i="83" s="1"/>
  <c r="K28" i="71" s="1"/>
  <c r="K133" i="71" s="1"/>
  <c r="K75" i="80"/>
  <c r="K87" i="80" s="1"/>
  <c r="K113" i="83"/>
  <c r="K218" i="83" s="1"/>
  <c r="K90" i="71" s="1"/>
  <c r="K195" i="71" s="1"/>
  <c r="K123" i="80"/>
  <c r="K135" i="80" s="1"/>
  <c r="O208" i="80"/>
  <c r="O176" i="80"/>
  <c r="O177"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L113" i="83"/>
  <c r="L218" i="83" s="1"/>
  <c r="L90" i="71" s="1"/>
  <c r="L195" i="71" s="1"/>
  <c r="L123" i="80"/>
  <c r="L135" i="80" s="1"/>
  <c r="L114" i="83"/>
  <c r="L219" i="83" s="1"/>
  <c r="L91" i="71" s="1"/>
  <c r="L196" i="71" s="1"/>
  <c r="L124" i="80"/>
  <c r="L136" i="80" s="1"/>
  <c r="K90" i="83"/>
  <c r="K161" i="83" s="1"/>
  <c r="K31" i="71" s="1"/>
  <c r="K136" i="71" s="1"/>
  <c r="K78" i="80"/>
  <c r="K90" i="80" s="1"/>
  <c r="K82" i="83"/>
  <c r="K153" i="83" s="1"/>
  <c r="K23" i="71" s="1"/>
  <c r="K128" i="71" s="1"/>
  <c r="K81" i="83"/>
  <c r="K152" i="83" s="1"/>
  <c r="K70" i="80"/>
  <c r="K82" i="80" s="1"/>
  <c r="L110" i="83"/>
  <c r="L215" i="83" s="1"/>
  <c r="L87" i="71" s="1"/>
  <c r="L192" i="71" s="1"/>
  <c r="L120" i="80"/>
  <c r="L132"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O158" i="71"/>
  <c r="R98" i="105"/>
  <c r="O98" i="105"/>
  <c r="R193" i="71"/>
  <c r="R165" i="71"/>
  <c r="R160" i="71"/>
  <c r="P98" i="105"/>
  <c r="R195" i="71"/>
  <c r="R194" i="71"/>
  <c r="R188" i="71"/>
  <c r="R164" i="71"/>
  <c r="R136" i="71"/>
  <c r="R161" i="71"/>
  <c r="R132" i="71"/>
  <c r="R159" i="71"/>
  <c r="O100" i="105"/>
  <c r="P100" i="105"/>
  <c r="O157" i="71"/>
  <c r="R187" i="71"/>
  <c r="R128" i="71"/>
  <c r="R108" i="105"/>
  <c r="R131" i="71"/>
  <c r="R162" i="71"/>
  <c r="R189" i="71"/>
  <c r="R163" i="71"/>
  <c r="R129" i="71"/>
  <c r="R134" i="71"/>
  <c r="R133" i="71"/>
  <c r="R158" i="71"/>
  <c r="R190" i="71"/>
  <c r="R192" i="71"/>
  <c r="R166" i="71"/>
  <c r="R135" i="71"/>
  <c r="R196" i="71"/>
  <c r="R191" i="71"/>
  <c r="R157" i="71"/>
  <c r="R130" i="71"/>
  <c r="O127" i="71"/>
  <c r="P157" i="71"/>
  <c r="N177" i="80" l="1"/>
  <c r="L22" i="71"/>
  <c r="L127" i="71" s="1"/>
  <c r="K22" i="71"/>
  <c r="K127" i="71" s="1"/>
  <c r="K72" i="80"/>
  <c r="K84" i="80" s="1"/>
  <c r="K95" i="80"/>
  <c r="K107" i="80" s="1"/>
  <c r="L95" i="80"/>
  <c r="L107" i="80" s="1"/>
  <c r="L99" i="83"/>
  <c r="L187" i="83" s="1"/>
  <c r="L58" i="71" s="1"/>
  <c r="L163" i="71" s="1"/>
  <c r="M147" i="80"/>
  <c r="M173" i="80" s="1"/>
  <c r="L78" i="80"/>
  <c r="L90" i="80" s="1"/>
  <c r="L150" i="80" s="1"/>
  <c r="L208" i="80" s="1"/>
  <c r="L86" i="83"/>
  <c r="L157" i="83" s="1"/>
  <c r="L27" i="71" s="1"/>
  <c r="L132" i="71" s="1"/>
  <c r="L82" i="83"/>
  <c r="L153" i="83" s="1"/>
  <c r="L23" i="71" s="1"/>
  <c r="L128" i="71" s="1"/>
  <c r="K85" i="83"/>
  <c r="K156" i="83" s="1"/>
  <c r="K26" i="71" s="1"/>
  <c r="K131" i="71" s="1"/>
  <c r="L105" i="83"/>
  <c r="L210" i="83" s="1"/>
  <c r="K100" i="80"/>
  <c r="K112" i="80" s="1"/>
  <c r="K149" i="80" s="1"/>
  <c r="K175" i="80" s="1"/>
  <c r="L106" i="83"/>
  <c r="L211" i="83" s="1"/>
  <c r="L83" i="71" s="1"/>
  <c r="L188" i="71" s="1"/>
  <c r="S241" i="80"/>
  <c r="Y254" i="80"/>
  <c r="T241" i="80"/>
  <c r="X241" i="80"/>
  <c r="W254" i="80"/>
  <c r="R254" i="80"/>
  <c r="V254" i="80"/>
  <c r="Y241" i="80"/>
  <c r="U241" i="80"/>
  <c r="U254" i="80"/>
  <c r="T254" i="80"/>
  <c r="H26" i="73"/>
  <c r="X254" i="80"/>
  <c r="S254" i="80"/>
  <c r="R241" i="80"/>
  <c r="W241" i="80"/>
  <c r="V241" i="80"/>
  <c r="N241" i="80"/>
  <c r="K241" i="80"/>
  <c r="L241" i="80"/>
  <c r="Q241" i="80"/>
  <c r="N254" i="80"/>
  <c r="L254" i="80"/>
  <c r="Q254" i="80"/>
  <c r="O241" i="80"/>
  <c r="P254" i="80"/>
  <c r="O254" i="80"/>
  <c r="P241" i="80"/>
  <c r="M241" i="80"/>
  <c r="J241" i="80"/>
  <c r="J254" i="80"/>
  <c r="H29" i="73"/>
  <c r="W257" i="80"/>
  <c r="U257" i="80"/>
  <c r="T244" i="80"/>
  <c r="X244" i="80"/>
  <c r="Y244" i="80"/>
  <c r="T257" i="80"/>
  <c r="V257" i="80"/>
  <c r="Y257" i="80"/>
  <c r="W244" i="80"/>
  <c r="R257" i="80"/>
  <c r="S244" i="80"/>
  <c r="R244" i="80"/>
  <c r="U244" i="80"/>
  <c r="V244" i="80"/>
  <c r="S257" i="80"/>
  <c r="X257" i="80"/>
  <c r="N244" i="80"/>
  <c r="O244" i="80"/>
  <c r="P257" i="80"/>
  <c r="L257" i="80"/>
  <c r="L244" i="80"/>
  <c r="N257" i="80"/>
  <c r="K244" i="80"/>
  <c r="O257" i="80"/>
  <c r="Q257" i="80"/>
  <c r="Q244" i="80"/>
  <c r="P244" i="80"/>
  <c r="M244" i="80"/>
  <c r="J244" i="80"/>
  <c r="J257" i="80"/>
  <c r="S176" i="80"/>
  <c r="S177" i="80" s="1"/>
  <c r="S240" i="80"/>
  <c r="X240" i="80"/>
  <c r="T240" i="80"/>
  <c r="V240" i="80"/>
  <c r="W253" i="80"/>
  <c r="R253" i="80"/>
  <c r="V253" i="80"/>
  <c r="H25" i="73"/>
  <c r="Y240" i="80"/>
  <c r="W240" i="80"/>
  <c r="U253" i="80"/>
  <c r="T253" i="80"/>
  <c r="S253" i="80"/>
  <c r="X253" i="80"/>
  <c r="Y253" i="80"/>
  <c r="R240" i="80"/>
  <c r="U240" i="80"/>
  <c r="K50" i="82" a="1"/>
  <c r="N240" i="80"/>
  <c r="N253" i="80"/>
  <c r="Q253" i="80"/>
  <c r="P240" i="80"/>
  <c r="O240" i="80"/>
  <c r="L253" i="80"/>
  <c r="P253" i="80"/>
  <c r="K240" i="80"/>
  <c r="L240" i="80"/>
  <c r="Q240" i="80"/>
  <c r="O253" i="80"/>
  <c r="J253" i="80"/>
  <c r="M240" i="80"/>
  <c r="J240" i="80"/>
  <c r="W255" i="80"/>
  <c r="S255" i="80"/>
  <c r="V255" i="80"/>
  <c r="U255" i="80"/>
  <c r="H27" i="73"/>
  <c r="W242" i="80"/>
  <c r="R242" i="80"/>
  <c r="V242" i="80"/>
  <c r="Y255" i="80"/>
  <c r="T255" i="80"/>
  <c r="U242" i="80"/>
  <c r="T242" i="80"/>
  <c r="R255" i="80"/>
  <c r="X255" i="80"/>
  <c r="S242" i="80"/>
  <c r="N242" i="80"/>
  <c r="Y242" i="80"/>
  <c r="X242" i="80"/>
  <c r="N255" i="80"/>
  <c r="O255" i="80"/>
  <c r="Q255" i="80"/>
  <c r="P242" i="80"/>
  <c r="O242" i="80"/>
  <c r="L242" i="80"/>
  <c r="K242" i="80"/>
  <c r="Q242" i="80"/>
  <c r="P255" i="80"/>
  <c r="L255" i="80"/>
  <c r="J255" i="80"/>
  <c r="J242" i="80"/>
  <c r="M242" i="80"/>
  <c r="H30" i="73"/>
  <c r="W258" i="80"/>
  <c r="R258" i="80"/>
  <c r="R245" i="80"/>
  <c r="V245" i="80"/>
  <c r="S245" i="80"/>
  <c r="U245" i="80"/>
  <c r="X245" i="80"/>
  <c r="Y258" i="80"/>
  <c r="T245" i="80"/>
  <c r="U258" i="80"/>
  <c r="W245" i="80"/>
  <c r="T258" i="80"/>
  <c r="S258" i="80"/>
  <c r="X258" i="80"/>
  <c r="Y245" i="80"/>
  <c r="V258" i="80"/>
  <c r="N245" i="80"/>
  <c r="K245" i="80"/>
  <c r="O245" i="80"/>
  <c r="L245" i="80"/>
  <c r="Q245" i="80"/>
  <c r="P245" i="80"/>
  <c r="N258" i="80"/>
  <c r="O258" i="80"/>
  <c r="Q258" i="80"/>
  <c r="L258" i="80"/>
  <c r="P258" i="80"/>
  <c r="J258" i="80"/>
  <c r="J245" i="80"/>
  <c r="M245" i="80"/>
  <c r="W239" i="80"/>
  <c r="W252" i="80"/>
  <c r="V252" i="80"/>
  <c r="T252" i="80"/>
  <c r="H24" i="73"/>
  <c r="Y239" i="80"/>
  <c r="U252" i="80"/>
  <c r="R239" i="80"/>
  <c r="S252" i="80"/>
  <c r="V239" i="80"/>
  <c r="N239" i="80"/>
  <c r="Y252" i="80"/>
  <c r="T239" i="80"/>
  <c r="S239" i="80"/>
  <c r="R252" i="80"/>
  <c r="X239" i="80"/>
  <c r="X252" i="80"/>
  <c r="H23" i="73"/>
  <c r="U239" i="80"/>
  <c r="O252" i="80"/>
  <c r="L239" i="80"/>
  <c r="Q239" i="80"/>
  <c r="P239" i="80"/>
  <c r="O239" i="80"/>
  <c r="Q252" i="80"/>
  <c r="P252" i="80"/>
  <c r="N252" i="80"/>
  <c r="K239" i="80"/>
  <c r="L252" i="80"/>
  <c r="J239" i="80"/>
  <c r="M239" i="80"/>
  <c r="J252" i="80"/>
  <c r="Y256" i="80"/>
  <c r="X243" i="80"/>
  <c r="R243" i="80"/>
  <c r="T243" i="80"/>
  <c r="S256" i="80"/>
  <c r="V243" i="80"/>
  <c r="R256" i="80"/>
  <c r="H28" i="73"/>
  <c r="S243" i="80"/>
  <c r="X256" i="80"/>
  <c r="V256" i="80"/>
  <c r="Y243" i="80"/>
  <c r="T256" i="80"/>
  <c r="W256" i="80"/>
  <c r="U256" i="80"/>
  <c r="W243" i="80"/>
  <c r="U243" i="80"/>
  <c r="N243" i="80"/>
  <c r="Q256" i="80"/>
  <c r="P243" i="80"/>
  <c r="O256" i="80"/>
  <c r="O243" i="80"/>
  <c r="L256" i="80"/>
  <c r="N256" i="80"/>
  <c r="K243" i="80"/>
  <c r="L243" i="80"/>
  <c r="Q243" i="80"/>
  <c r="P256" i="80"/>
  <c r="M243" i="80"/>
  <c r="J256" i="80"/>
  <c r="J243" i="80"/>
  <c r="H31" i="73"/>
  <c r="Y259" i="80"/>
  <c r="X259" i="80"/>
  <c r="X246" i="80"/>
  <c r="T259" i="80"/>
  <c r="S246" i="80"/>
  <c r="T246" i="80"/>
  <c r="U259" i="80"/>
  <c r="W259" i="80"/>
  <c r="R246" i="80"/>
  <c r="V246" i="80"/>
  <c r="V259" i="80"/>
  <c r="Y246" i="80"/>
  <c r="R259" i="80"/>
  <c r="W246" i="80"/>
  <c r="U246" i="80"/>
  <c r="S259" i="80"/>
  <c r="N246" i="80"/>
  <c r="K246" i="80"/>
  <c r="O246" i="80"/>
  <c r="L246" i="80"/>
  <c r="L259" i="80"/>
  <c r="P246" i="80"/>
  <c r="N259" i="80"/>
  <c r="O259" i="80"/>
  <c r="P259" i="80"/>
  <c r="Q259" i="80"/>
  <c r="Q246" i="80"/>
  <c r="J259" i="80"/>
  <c r="M246" i="80"/>
  <c r="J246" i="80"/>
  <c r="L97" i="80"/>
  <c r="L109" i="80" s="1"/>
  <c r="L146" i="80" s="1"/>
  <c r="L172" i="80" s="1"/>
  <c r="K89" i="83"/>
  <c r="K160" i="83" s="1"/>
  <c r="K30" i="71" s="1"/>
  <c r="K135" i="71" s="1"/>
  <c r="L77" i="80"/>
  <c r="L89" i="80" s="1"/>
  <c r="L122" i="80"/>
  <c r="L134" i="80" s="1"/>
  <c r="K150" i="80"/>
  <c r="K176" i="80" s="1"/>
  <c r="Q150" i="80"/>
  <c r="Q208" i="80" s="1"/>
  <c r="L70" i="80"/>
  <c r="L82" i="80" s="1"/>
  <c r="L142" i="80" s="1"/>
  <c r="L168"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J106" i="83"/>
  <c r="J211" i="83" s="1"/>
  <c r="J83" i="71" s="1"/>
  <c r="J105" i="83"/>
  <c r="J210" i="83" s="1"/>
  <c r="J116" i="80"/>
  <c r="J128" i="80" s="1"/>
  <c r="J86" i="83"/>
  <c r="J157" i="83" s="1"/>
  <c r="J27" i="71" s="1"/>
  <c r="J74" i="80"/>
  <c r="J86" i="80" s="1"/>
  <c r="M100" i="83"/>
  <c r="M188" i="83" s="1"/>
  <c r="M59" i="71" s="1"/>
  <c r="M164" i="71" s="1"/>
  <c r="M99" i="80"/>
  <c r="M111" i="80" s="1"/>
  <c r="M95" i="83"/>
  <c r="M183" i="83" s="1"/>
  <c r="M54" i="71" s="1"/>
  <c r="M159" i="71" s="1"/>
  <c r="M94" i="80"/>
  <c r="M106" i="80" s="1"/>
  <c r="J107" i="83"/>
  <c r="J212" i="83" s="1"/>
  <c r="J84" i="71" s="1"/>
  <c r="J117" i="80"/>
  <c r="J129" i="80" s="1"/>
  <c r="J111" i="83"/>
  <c r="J216" i="83" s="1"/>
  <c r="J88" i="71" s="1"/>
  <c r="J121" i="80"/>
  <c r="J133" i="80" s="1"/>
  <c r="M86" i="83"/>
  <c r="M157" i="83" s="1"/>
  <c r="M27" i="71" s="1"/>
  <c r="M132" i="71" s="1"/>
  <c r="M74" i="80"/>
  <c r="M86" i="80" s="1"/>
  <c r="M97" i="83"/>
  <c r="M185" i="83" s="1"/>
  <c r="M56" i="71" s="1"/>
  <c r="M161" i="71" s="1"/>
  <c r="M96" i="80"/>
  <c r="M108" i="80" s="1"/>
  <c r="L83" i="83"/>
  <c r="L154" i="83" s="1"/>
  <c r="L24" i="71" s="1"/>
  <c r="L129" i="71" s="1"/>
  <c r="L71" i="80"/>
  <c r="L83" i="80" s="1"/>
  <c r="J88" i="83"/>
  <c r="J159" i="83" s="1"/>
  <c r="J29" i="71" s="1"/>
  <c r="J76" i="80"/>
  <c r="J88" i="80" s="1"/>
  <c r="J90" i="83"/>
  <c r="J161" i="83" s="1"/>
  <c r="J31" i="71" s="1"/>
  <c r="J78" i="80"/>
  <c r="J90" i="80" s="1"/>
  <c r="M114" i="83"/>
  <c r="M219" i="83" s="1"/>
  <c r="M91" i="71" s="1"/>
  <c r="M196" i="71" s="1"/>
  <c r="M124" i="80"/>
  <c r="M136" i="80" s="1"/>
  <c r="M108" i="83"/>
  <c r="M213" i="83" s="1"/>
  <c r="M85" i="71" s="1"/>
  <c r="M190" i="71" s="1"/>
  <c r="M118" i="80"/>
  <c r="M130" i="80" s="1"/>
  <c r="L111" i="83"/>
  <c r="L216" i="83" s="1"/>
  <c r="L88" i="71" s="1"/>
  <c r="L193" i="71" s="1"/>
  <c r="L121" i="80"/>
  <c r="L133" i="80" s="1"/>
  <c r="L147" i="80" s="1"/>
  <c r="L173" i="80" s="1"/>
  <c r="J89" i="83"/>
  <c r="J160" i="83" s="1"/>
  <c r="J30" i="71" s="1"/>
  <c r="J77" i="80"/>
  <c r="J89" i="80" s="1"/>
  <c r="J97" i="83"/>
  <c r="J185" i="83" s="1"/>
  <c r="J56" i="71" s="1"/>
  <c r="J96" i="80"/>
  <c r="J108" i="80" s="1"/>
  <c r="K94" i="83"/>
  <c r="K182" i="83" s="1"/>
  <c r="K53" i="71" s="1"/>
  <c r="K158" i="71" s="1"/>
  <c r="K93" i="83"/>
  <c r="K181" i="83" s="1"/>
  <c r="K93" i="80"/>
  <c r="K105" i="80" s="1"/>
  <c r="Q146" i="80"/>
  <c r="Q172" i="80" s="1"/>
  <c r="Q144" i="80"/>
  <c r="Q170" i="80" s="1"/>
  <c r="J82" i="83"/>
  <c r="J153" i="83" s="1"/>
  <c r="J23" i="71" s="1"/>
  <c r="J81" i="83"/>
  <c r="J152" i="83" s="1"/>
  <c r="J70" i="80"/>
  <c r="J82" i="80" s="1"/>
  <c r="M112" i="83"/>
  <c r="M217" i="83" s="1"/>
  <c r="M89" i="71" s="1"/>
  <c r="M194" i="71" s="1"/>
  <c r="M122" i="80"/>
  <c r="M134" i="80" s="1"/>
  <c r="K98" i="83"/>
  <c r="K186" i="83" s="1"/>
  <c r="K57" i="71" s="1"/>
  <c r="K162" i="71" s="1"/>
  <c r="K97" i="80"/>
  <c r="K109" i="80" s="1"/>
  <c r="J95" i="83"/>
  <c r="J183" i="83" s="1"/>
  <c r="J54" i="71" s="1"/>
  <c r="J94" i="80"/>
  <c r="J106" i="80" s="1"/>
  <c r="L95" i="83"/>
  <c r="L183" i="83" s="1"/>
  <c r="L54" i="71" s="1"/>
  <c r="L159" i="71" s="1"/>
  <c r="L94" i="80"/>
  <c r="L106" i="80" s="1"/>
  <c r="J96" i="83"/>
  <c r="J184" i="83" s="1"/>
  <c r="J55" i="71" s="1"/>
  <c r="J95" i="80"/>
  <c r="J107" i="80" s="1"/>
  <c r="J99" i="83"/>
  <c r="J187" i="83" s="1"/>
  <c r="J58" i="71" s="1"/>
  <c r="J98" i="80"/>
  <c r="J110" i="80" s="1"/>
  <c r="M113" i="83"/>
  <c r="M218" i="83" s="1"/>
  <c r="M90" i="71" s="1"/>
  <c r="M195" i="71" s="1"/>
  <c r="M123" i="80"/>
  <c r="M135" i="80" s="1"/>
  <c r="K107" i="83"/>
  <c r="K212" i="83" s="1"/>
  <c r="K84" i="71" s="1"/>
  <c r="K189" i="71" s="1"/>
  <c r="K117" i="80"/>
  <c r="K129" i="80" s="1"/>
  <c r="M109" i="83"/>
  <c r="M214" i="83" s="1"/>
  <c r="M86" i="71" s="1"/>
  <c r="M191" i="71" s="1"/>
  <c r="M119" i="80"/>
  <c r="M131" i="80" s="1"/>
  <c r="L88" i="83"/>
  <c r="L159" i="83" s="1"/>
  <c r="L29" i="71" s="1"/>
  <c r="L134" i="71" s="1"/>
  <c r="L76" i="80"/>
  <c r="L88" i="80" s="1"/>
  <c r="J114" i="83"/>
  <c r="J219" i="83" s="1"/>
  <c r="J91" i="71" s="1"/>
  <c r="J124" i="80"/>
  <c r="J136" i="80" s="1"/>
  <c r="M90" i="83"/>
  <c r="M161" i="83" s="1"/>
  <c r="M31" i="71" s="1"/>
  <c r="M136" i="71" s="1"/>
  <c r="M78" i="80"/>
  <c r="M90" i="80" s="1"/>
  <c r="K110" i="83"/>
  <c r="K215" i="83" s="1"/>
  <c r="K87" i="71" s="1"/>
  <c r="K192" i="71" s="1"/>
  <c r="K120" i="80"/>
  <c r="K132" i="80" s="1"/>
  <c r="M106" i="83"/>
  <c r="M211" i="83" s="1"/>
  <c r="M83" i="71" s="1"/>
  <c r="M188" i="71" s="1"/>
  <c r="M105" i="83"/>
  <c r="M210" i="83" s="1"/>
  <c r="M116" i="80"/>
  <c r="M128" i="80" s="1"/>
  <c r="J109" i="83"/>
  <c r="J214" i="83" s="1"/>
  <c r="J86" i="71" s="1"/>
  <c r="J119" i="80"/>
  <c r="J131" i="80" s="1"/>
  <c r="K88" i="83"/>
  <c r="K159" i="83" s="1"/>
  <c r="K29" i="71" s="1"/>
  <c r="K134" i="71" s="1"/>
  <c r="K76" i="80"/>
  <c r="K88" i="80" s="1"/>
  <c r="Q143" i="80"/>
  <c r="Q169" i="80" s="1"/>
  <c r="Q142" i="80"/>
  <c r="Q168" i="80" s="1"/>
  <c r="J110" i="83"/>
  <c r="J215" i="83" s="1"/>
  <c r="J87" i="71" s="1"/>
  <c r="J120" i="80"/>
  <c r="J132" i="80" s="1"/>
  <c r="M107" i="83"/>
  <c r="M212" i="83" s="1"/>
  <c r="M84" i="71" s="1"/>
  <c r="M189" i="71" s="1"/>
  <c r="M117" i="80"/>
  <c r="M129" i="80" s="1"/>
  <c r="J84" i="83"/>
  <c r="J155" i="83" s="1"/>
  <c r="J25" i="71" s="1"/>
  <c r="J72" i="80"/>
  <c r="J84"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J100" i="83"/>
  <c r="J188" i="83" s="1"/>
  <c r="J59" i="71" s="1"/>
  <c r="J99" i="80"/>
  <c r="J111" i="80" s="1"/>
  <c r="K109" i="83"/>
  <c r="K214" i="83" s="1"/>
  <c r="K86" i="71" s="1"/>
  <c r="K191" i="71" s="1"/>
  <c r="K119" i="80"/>
  <c r="K131" i="80" s="1"/>
  <c r="K145" i="80" s="1"/>
  <c r="K171" i="80" s="1"/>
  <c r="M84" i="83"/>
  <c r="M155" i="83" s="1"/>
  <c r="M25" i="71" s="1"/>
  <c r="M130" i="71" s="1"/>
  <c r="M72" i="80"/>
  <c r="M84" i="80" s="1"/>
  <c r="J113" i="83"/>
  <c r="J218" i="83" s="1"/>
  <c r="J90" i="71" s="1"/>
  <c r="J123" i="80"/>
  <c r="J135" i="80" s="1"/>
  <c r="M93" i="83"/>
  <c r="M181" i="83" s="1"/>
  <c r="M94" i="83"/>
  <c r="M182" i="83" s="1"/>
  <c r="M53" i="71" s="1"/>
  <c r="M158" i="71" s="1"/>
  <c r="M93" i="80"/>
  <c r="M105" i="80" s="1"/>
  <c r="J85" i="83"/>
  <c r="J156" i="83" s="1"/>
  <c r="J26" i="71" s="1"/>
  <c r="J73" i="80"/>
  <c r="J85" i="80" s="1"/>
  <c r="K106" i="83"/>
  <c r="K211" i="83" s="1"/>
  <c r="K83" i="71" s="1"/>
  <c r="K188" i="71" s="1"/>
  <c r="K105" i="83"/>
  <c r="K210" i="83" s="1"/>
  <c r="K116" i="80"/>
  <c r="K128" i="80" s="1"/>
  <c r="K147" i="80"/>
  <c r="K173" i="80" s="1"/>
  <c r="Q149" i="80"/>
  <c r="Q175" i="80" s="1"/>
  <c r="S127" i="71"/>
  <c r="J94" i="83"/>
  <c r="J182" i="83" s="1"/>
  <c r="J53" i="71" s="1"/>
  <c r="J93" i="83"/>
  <c r="J181" i="83" s="1"/>
  <c r="J93" i="80"/>
  <c r="J105" i="80" s="1"/>
  <c r="J98" i="83"/>
  <c r="J186" i="83" s="1"/>
  <c r="J57" i="71" s="1"/>
  <c r="J97" i="80"/>
  <c r="J109" i="80" s="1"/>
  <c r="M88" i="83"/>
  <c r="M159" i="83" s="1"/>
  <c r="M29" i="71" s="1"/>
  <c r="M134" i="71" s="1"/>
  <c r="M76" i="80"/>
  <c r="M88" i="80" s="1"/>
  <c r="M83" i="83"/>
  <c r="M154" i="83" s="1"/>
  <c r="M24" i="71" s="1"/>
  <c r="M129" i="71" s="1"/>
  <c r="M71" i="80"/>
  <c r="M83" i="80" s="1"/>
  <c r="J83" i="83"/>
  <c r="J154" i="83" s="1"/>
  <c r="J24" i="71" s="1"/>
  <c r="J71" i="80"/>
  <c r="J83" i="80" s="1"/>
  <c r="J108" i="83"/>
  <c r="J213" i="83" s="1"/>
  <c r="J85" i="71" s="1"/>
  <c r="J118" i="80"/>
  <c r="J130" i="80" s="1"/>
  <c r="J87" i="83"/>
  <c r="J158" i="83" s="1"/>
  <c r="J28" i="71" s="1"/>
  <c r="J75" i="80"/>
  <c r="J87" i="80" s="1"/>
  <c r="M98" i="83"/>
  <c r="M186" i="83" s="1"/>
  <c r="M57" i="71" s="1"/>
  <c r="M162" i="71" s="1"/>
  <c r="M97" i="80"/>
  <c r="M109" i="80" s="1"/>
  <c r="M101" i="83"/>
  <c r="M189" i="83" s="1"/>
  <c r="M60" i="71" s="1"/>
  <c r="M165" i="71" s="1"/>
  <c r="M100" i="80"/>
  <c r="M112" i="80" s="1"/>
  <c r="L108" i="83"/>
  <c r="L213" i="83" s="1"/>
  <c r="L85" i="71" s="1"/>
  <c r="L190" i="71" s="1"/>
  <c r="L118" i="80"/>
  <c r="L130" i="80" s="1"/>
  <c r="J112" i="83"/>
  <c r="J217" i="83" s="1"/>
  <c r="J89" i="71" s="1"/>
  <c r="J122" i="80"/>
  <c r="J134" i="80" s="1"/>
  <c r="J102" i="83"/>
  <c r="J190" i="83" s="1"/>
  <c r="J61" i="71" s="1"/>
  <c r="J101" i="80"/>
  <c r="J113" i="80" s="1"/>
  <c r="K100" i="83"/>
  <c r="K188" i="83" s="1"/>
  <c r="K59" i="71" s="1"/>
  <c r="K164" i="71" s="1"/>
  <c r="K99" i="80"/>
  <c r="K111" i="80" s="1"/>
  <c r="M102" i="83"/>
  <c r="M190" i="83" s="1"/>
  <c r="M61" i="71" s="1"/>
  <c r="M166" i="71" s="1"/>
  <c r="M101" i="80"/>
  <c r="M113" i="80" s="1"/>
  <c r="M96" i="83"/>
  <c r="M184" i="83" s="1"/>
  <c r="M55" i="71" s="1"/>
  <c r="M160" i="71" s="1"/>
  <c r="M95" i="80"/>
  <c r="M107" i="80" s="1"/>
  <c r="J101" i="83"/>
  <c r="J189" i="83" s="1"/>
  <c r="J60" i="71" s="1"/>
  <c r="J100" i="80"/>
  <c r="J112" i="80" s="1"/>
  <c r="M82" i="83"/>
  <c r="M153" i="83" s="1"/>
  <c r="M23" i="71" s="1"/>
  <c r="M128" i="71" s="1"/>
  <c r="M81" i="83"/>
  <c r="M152" i="83" s="1"/>
  <c r="M70" i="80"/>
  <c r="M82" i="80" s="1"/>
  <c r="K83" i="83"/>
  <c r="K154" i="83" s="1"/>
  <c r="K24" i="71" s="1"/>
  <c r="K129" i="71" s="1"/>
  <c r="K71" i="80"/>
  <c r="K83" i="80" s="1"/>
  <c r="Q148" i="80"/>
  <c r="Q174" i="80" s="1"/>
  <c r="R176" i="80"/>
  <c r="R177" i="80" s="1"/>
  <c r="R208" i="80"/>
  <c r="P135" i="71"/>
  <c r="P160" i="71"/>
  <c r="P161" i="71"/>
  <c r="P133" i="71"/>
  <c r="P191" i="71"/>
  <c r="P159" i="71"/>
  <c r="O190" i="71"/>
  <c r="P189" i="71"/>
  <c r="O159" i="71"/>
  <c r="O188" i="71"/>
  <c r="P129" i="71"/>
  <c r="P163" i="71"/>
  <c r="P128" i="71"/>
  <c r="O130" i="71"/>
  <c r="O162" i="71"/>
  <c r="P158" i="71"/>
  <c r="O128" i="71"/>
  <c r="P130" i="71"/>
  <c r="P193" i="71"/>
  <c r="O160" i="71"/>
  <c r="O131" i="71"/>
  <c r="P190" i="71"/>
  <c r="O163" i="71"/>
  <c r="O136" i="71"/>
  <c r="O191" i="71"/>
  <c r="O196" i="71"/>
  <c r="P131" i="71"/>
  <c r="P188" i="71"/>
  <c r="P165" i="71"/>
  <c r="O161" i="71"/>
  <c r="P162" i="71"/>
  <c r="O135" i="71"/>
  <c r="P274" i="80" l="1"/>
  <c r="Y272" i="80"/>
  <c r="U276" i="80"/>
  <c r="W274" i="80"/>
  <c r="O269" i="80"/>
  <c r="K144" i="80"/>
  <c r="K170" i="80" s="1"/>
  <c r="K271" i="80" s="1"/>
  <c r="M22" i="71"/>
  <c r="M127" i="71" s="1"/>
  <c r="J82" i="71"/>
  <c r="J187" i="71" s="1"/>
  <c r="J52" i="71"/>
  <c r="J157" i="71" s="1"/>
  <c r="J22" i="71"/>
  <c r="J127" i="71" s="1"/>
  <c r="L144" i="80"/>
  <c r="L170" i="80" s="1"/>
  <c r="L271" i="80" s="1"/>
  <c r="X272" i="80"/>
  <c r="U269" i="80"/>
  <c r="K274" i="80"/>
  <c r="M274" i="80"/>
  <c r="L176" i="80"/>
  <c r="L273" i="80"/>
  <c r="S273" i="80"/>
  <c r="L82" i="71"/>
  <c r="L187" i="71" s="1"/>
  <c r="S269" i="80"/>
  <c r="K208" i="80"/>
  <c r="Q273" i="80"/>
  <c r="K276" i="80"/>
  <c r="S271" i="80"/>
  <c r="R275" i="80"/>
  <c r="N275" i="80"/>
  <c r="T275" i="80"/>
  <c r="R272" i="80"/>
  <c r="U270" i="80"/>
  <c r="R274" i="80"/>
  <c r="V272" i="80"/>
  <c r="R270" i="80"/>
  <c r="T274" i="80"/>
  <c r="R271" i="80"/>
  <c r="M142" i="80"/>
  <c r="M168" i="80" s="1"/>
  <c r="L149" i="80"/>
  <c r="L175" i="80" s="1"/>
  <c r="L276" i="80" s="1"/>
  <c r="Y270" i="80"/>
  <c r="W273" i="80"/>
  <c r="X276" i="80"/>
  <c r="R269" i="80"/>
  <c r="R276" i="80"/>
  <c r="S270" i="80"/>
  <c r="Q275" i="80"/>
  <c r="L274" i="80"/>
  <c r="Y276" i="80"/>
  <c r="Y273" i="80"/>
  <c r="W269" i="80"/>
  <c r="S274" i="80"/>
  <c r="S275" i="80"/>
  <c r="S276" i="80"/>
  <c r="T273" i="80"/>
  <c r="R273" i="80"/>
  <c r="X269" i="80"/>
  <c r="U272" i="80"/>
  <c r="Q271" i="80"/>
  <c r="P269" i="80"/>
  <c r="P272" i="80"/>
  <c r="W272" i="80"/>
  <c r="S272" i="80"/>
  <c r="P270" i="80"/>
  <c r="W270" i="80"/>
  <c r="N274"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O276"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N271" i="80"/>
  <c r="K272" i="80"/>
  <c r="Q270" i="80"/>
  <c r="Q176" i="80"/>
  <c r="Q177" i="80" s="1"/>
  <c r="Q274" i="80"/>
  <c r="P276" i="80"/>
  <c r="W276" i="80"/>
  <c r="V276" i="80"/>
  <c r="T276" i="80"/>
  <c r="O273" i="80"/>
  <c r="N273" i="80"/>
  <c r="V273" i="80"/>
  <c r="X273" i="80"/>
  <c r="V269" i="80"/>
  <c r="Y269" i="80"/>
  <c r="O275" i="80"/>
  <c r="Y275" i="80"/>
  <c r="W275" i="80"/>
  <c r="X275" i="80"/>
  <c r="N272"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O271" i="80"/>
  <c r="V271" i="80"/>
  <c r="U271" i="80"/>
  <c r="P273" i="80"/>
  <c r="L50" i="82"/>
  <c r="M50" i="82"/>
  <c r="O50" i="82"/>
  <c r="K50" i="82"/>
  <c r="N50" i="82"/>
  <c r="X270" i="80"/>
  <c r="N269"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N276" i="80"/>
  <c r="U273" i="80"/>
  <c r="T269" i="80"/>
  <c r="P275" i="80"/>
  <c r="U275" i="80"/>
  <c r="O272" i="80"/>
  <c r="O270" i="80"/>
  <c r="N270" i="80"/>
  <c r="T270" i="80"/>
  <c r="O274"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J145" i="80"/>
  <c r="L148" i="80"/>
  <c r="L174" i="80" s="1"/>
  <c r="L275" i="80" s="1"/>
  <c r="M145" i="80"/>
  <c r="M171" i="80" s="1"/>
  <c r="M272" i="80" s="1"/>
  <c r="J143" i="80"/>
  <c r="J169" i="80" s="1"/>
  <c r="J270" i="80" s="1"/>
  <c r="M148" i="80"/>
  <c r="M174" i="80" s="1"/>
  <c r="M275" i="80" s="1"/>
  <c r="K146" i="80"/>
  <c r="K172" i="80" s="1"/>
  <c r="K273" i="80" s="1"/>
  <c r="K142" i="80"/>
  <c r="K168" i="80" s="1"/>
  <c r="M52" i="71"/>
  <c r="M157" i="71" s="1"/>
  <c r="M82" i="71"/>
  <c r="M187" i="71" s="1"/>
  <c r="J147" i="80"/>
  <c r="J173" i="80" s="1"/>
  <c r="J274" i="80" s="1"/>
  <c r="O187" i="71"/>
  <c r="K52" i="71"/>
  <c r="K157" i="71" s="1"/>
  <c r="P127" i="71"/>
  <c r="K82" i="71"/>
  <c r="K187" i="71" s="1"/>
  <c r="K143" i="80"/>
  <c r="K169" i="80" s="1"/>
  <c r="K270" i="80" s="1"/>
  <c r="M143" i="80"/>
  <c r="M169" i="80" s="1"/>
  <c r="M270" i="80" s="1"/>
  <c r="P187" i="71"/>
  <c r="Q269" i="80"/>
  <c r="J148" i="80"/>
  <c r="J174" i="80" s="1"/>
  <c r="J275" i="80" s="1"/>
  <c r="J146" i="80"/>
  <c r="J172" i="80" s="1"/>
  <c r="J273" i="80" s="1"/>
  <c r="L145" i="80"/>
  <c r="L171" i="80" s="1"/>
  <c r="L272" i="80" s="1"/>
  <c r="M149" i="80"/>
  <c r="M175" i="80" s="1"/>
  <c r="M276" i="80" s="1"/>
  <c r="J144" i="80"/>
  <c r="J170" i="80" s="1"/>
  <c r="J271" i="80" s="1"/>
  <c r="M144" i="80"/>
  <c r="M170" i="80" s="1"/>
  <c r="M271" i="80" s="1"/>
  <c r="K148" i="80"/>
  <c r="K174" i="80" s="1"/>
  <c r="K275" i="80" s="1"/>
  <c r="J142" i="80"/>
  <c r="J168" i="80" s="1"/>
  <c r="J149" i="80"/>
  <c r="J175" i="80" s="1"/>
  <c r="J276" i="80" s="1"/>
  <c r="J150" i="80"/>
  <c r="L143" i="80"/>
  <c r="L169" i="80" s="1"/>
  <c r="L270" i="80" s="1"/>
  <c r="M146" i="80"/>
  <c r="M172" i="80" s="1"/>
  <c r="M273" i="80" s="1"/>
  <c r="M150" i="80"/>
  <c r="O132" i="71"/>
  <c r="P132" i="71"/>
  <c r="J165" i="71"/>
  <c r="J131" i="71"/>
  <c r="O193" i="71"/>
  <c r="O195" i="71"/>
  <c r="J129" i="71"/>
  <c r="J195" i="71"/>
  <c r="J158" i="71"/>
  <c r="O133" i="71"/>
  <c r="J161" i="71"/>
  <c r="J189" i="71"/>
  <c r="O192" i="71"/>
  <c r="J163" i="71"/>
  <c r="J160" i="71"/>
  <c r="J159" i="71"/>
  <c r="J135" i="71"/>
  <c r="O129" i="71"/>
  <c r="J193" i="71"/>
  <c r="O166" i="71"/>
  <c r="J188" i="71"/>
  <c r="J192" i="71"/>
  <c r="J162" i="71"/>
  <c r="P195" i="71"/>
  <c r="J190" i="71"/>
  <c r="J133" i="71"/>
  <c r="J128" i="71"/>
  <c r="J132" i="71"/>
  <c r="P192" i="71"/>
  <c r="O189" i="71"/>
  <c r="J191" i="71"/>
  <c r="J130" i="71"/>
  <c r="O165" i="71"/>
  <c r="H270" i="80" l="1"/>
  <c r="H274" i="80"/>
  <c r="K177" i="80"/>
  <c r="L177" i="80"/>
  <c r="H271" i="80"/>
  <c r="M269" i="80"/>
  <c r="K269" i="80"/>
  <c r="J195" i="73"/>
  <c r="J265" i="73"/>
  <c r="J28" i="74" s="1"/>
  <c r="J73" i="74" s="1"/>
  <c r="J266" i="73"/>
  <c r="J29" i="74" s="1"/>
  <c r="J74"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75" i="74" s="1"/>
  <c r="N197" i="73"/>
  <c r="H154" i="80"/>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72" i="74" s="1"/>
  <c r="N268" i="73"/>
  <c r="N31" i="74" s="1"/>
  <c r="N76"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J77" i="74" s="1"/>
  <c r="Q195" i="73"/>
  <c r="Q265" i="73"/>
  <c r="Q28" i="74" s="1"/>
  <c r="Q73" i="74" s="1"/>
  <c r="N195" i="73"/>
  <c r="N265" i="73"/>
  <c r="N28" i="74" s="1"/>
  <c r="N73" i="74" s="1"/>
  <c r="J264" i="73"/>
  <c r="J27" i="74" s="1"/>
  <c r="J72" i="74" s="1"/>
  <c r="J194" i="73"/>
  <c r="O268" i="73"/>
  <c r="O31" i="74" s="1"/>
  <c r="O76" i="74" s="1"/>
  <c r="O198" i="73"/>
  <c r="O199" i="73"/>
  <c r="O269" i="73"/>
  <c r="O32" i="74" s="1"/>
  <c r="O77" i="74" s="1"/>
  <c r="N269" i="73"/>
  <c r="N32" i="74" s="1"/>
  <c r="N77" i="74" s="1"/>
  <c r="N199" i="73"/>
  <c r="K200" i="73"/>
  <c r="K270" i="73"/>
  <c r="K33" i="74" s="1"/>
  <c r="K78" i="74" s="1"/>
  <c r="P195" i="73"/>
  <c r="P265" i="73"/>
  <c r="P28" i="74" s="1"/>
  <c r="P73" i="74" s="1"/>
  <c r="K196" i="73"/>
  <c r="K266" i="73"/>
  <c r="K29" i="74" s="1"/>
  <c r="K74" i="74" s="1"/>
  <c r="M266" i="73"/>
  <c r="M29" i="74" s="1"/>
  <c r="M74" i="74" s="1"/>
  <c r="M196" i="73"/>
  <c r="N266" i="73"/>
  <c r="N29" i="74" s="1"/>
  <c r="N74" i="74" s="1"/>
  <c r="N196" i="73"/>
  <c r="K264" i="73"/>
  <c r="K27" i="74" s="1"/>
  <c r="K72" i="74" s="1"/>
  <c r="K194" i="73"/>
  <c r="Q268" i="73"/>
  <c r="Q31" i="74" s="1"/>
  <c r="Q76" i="74" s="1"/>
  <c r="Q198" i="73"/>
  <c r="M198" i="73"/>
  <c r="M268" i="73"/>
  <c r="M31" i="74" s="1"/>
  <c r="M76" i="74" s="1"/>
  <c r="J268" i="73"/>
  <c r="J31" i="74" s="1"/>
  <c r="J76" i="74" s="1"/>
  <c r="J198" i="73"/>
  <c r="Q269" i="73"/>
  <c r="Q32" i="74" s="1"/>
  <c r="Q77" i="74" s="1"/>
  <c r="Q199" i="73"/>
  <c r="O267" i="73"/>
  <c r="O30" i="74" s="1"/>
  <c r="O75" i="74" s="1"/>
  <c r="O197" i="73"/>
  <c r="K197" i="73"/>
  <c r="K267" i="73"/>
  <c r="K30" i="74" s="1"/>
  <c r="K75" i="74" s="1"/>
  <c r="J197" i="73"/>
  <c r="J267" i="73"/>
  <c r="J30" i="74" s="1"/>
  <c r="J75" i="74" s="1"/>
  <c r="O200" i="73"/>
  <c r="O270" i="73"/>
  <c r="O33" i="74" s="1"/>
  <c r="O78" i="74" s="1"/>
  <c r="N270" i="73"/>
  <c r="N33" i="74" s="1"/>
  <c r="N78" i="74" s="1"/>
  <c r="N200" i="73"/>
  <c r="J200" i="73"/>
  <c r="J270" i="73"/>
  <c r="J33" i="74" s="1"/>
  <c r="J78" i="74" s="1"/>
  <c r="J171" i="80"/>
  <c r="J272" i="80" s="1"/>
  <c r="H272" i="80" s="1"/>
  <c r="H157" i="80"/>
  <c r="H155" i="80"/>
  <c r="H156" i="80"/>
  <c r="M208" i="80"/>
  <c r="M176" i="80"/>
  <c r="M177" i="80" s="1"/>
  <c r="J208" i="80"/>
  <c r="J176" i="80"/>
  <c r="J269" i="80"/>
  <c r="O134" i="71"/>
  <c r="J164" i="71"/>
  <c r="P194" i="71"/>
  <c r="P196" i="71"/>
  <c r="P166" i="71"/>
  <c r="P134" i="71"/>
  <c r="J194" i="71"/>
  <c r="J166" i="71"/>
  <c r="J134" i="71"/>
  <c r="J136" i="71"/>
  <c r="J196" i="71"/>
  <c r="O164" i="71"/>
  <c r="O194" i="71"/>
  <c r="P164" i="71"/>
  <c r="P136" i="71"/>
  <c r="H159" i="80"/>
  <c r="H162" i="80"/>
  <c r="H276" i="80"/>
  <c r="H161" i="80"/>
  <c r="H273" i="80"/>
  <c r="H158" i="80"/>
  <c r="H306" i="53" a="1"/>
  <c r="H306" i="53" s="1"/>
  <c r="J177" i="80" l="1"/>
  <c r="H210" i="80"/>
  <c r="H234" i="80" s="1"/>
  <c r="O247" i="80" s="1"/>
  <c r="H269" i="80"/>
  <c r="R107" i="74"/>
  <c r="R139" i="74" s="1"/>
  <c r="T107" i="74"/>
  <c r="T139" i="74" s="1"/>
  <c r="U107" i="74"/>
  <c r="U139" i="74" s="1"/>
  <c r="K107" i="74"/>
  <c r="K139" i="74" s="1"/>
  <c r="Q107" i="74"/>
  <c r="Q139" i="74" s="1"/>
  <c r="V107" i="74"/>
  <c r="V139" i="74" s="1"/>
  <c r="W107" i="74"/>
  <c r="W139" i="74" s="1"/>
  <c r="X107" i="74"/>
  <c r="X139" i="74" s="1"/>
  <c r="S107" i="74"/>
  <c r="S139" i="74" s="1"/>
  <c r="M107" i="74"/>
  <c r="M139" i="74" s="1"/>
  <c r="O107" i="74"/>
  <c r="O139" i="74" s="1"/>
  <c r="Y107" i="74"/>
  <c r="Y139" i="74" s="1"/>
  <c r="P107" i="74"/>
  <c r="P139" i="74" s="1"/>
  <c r="N107" i="74"/>
  <c r="N139" i="74" s="1"/>
  <c r="U103" i="74"/>
  <c r="U135" i="74" s="1"/>
  <c r="V103" i="74"/>
  <c r="V135" i="74" s="1"/>
  <c r="R103" i="74"/>
  <c r="R135" i="74" s="1"/>
  <c r="M103" i="74"/>
  <c r="M135" i="74" s="1"/>
  <c r="O103" i="74"/>
  <c r="O135" i="74" s="1"/>
  <c r="P103" i="74"/>
  <c r="P135" i="74" s="1"/>
  <c r="Y103" i="74"/>
  <c r="Y135" i="74" s="1"/>
  <c r="S103" i="74"/>
  <c r="S135" i="74" s="1"/>
  <c r="Q103" i="74"/>
  <c r="Q135" i="74" s="1"/>
  <c r="K103" i="74"/>
  <c r="K135" i="74" s="1"/>
  <c r="X103" i="74"/>
  <c r="X135" i="74" s="1"/>
  <c r="T103" i="74"/>
  <c r="T135" i="74" s="1"/>
  <c r="W103" i="74"/>
  <c r="W135" i="74" s="1"/>
  <c r="N103" i="74"/>
  <c r="N135" i="74" s="1"/>
  <c r="J104" i="74"/>
  <c r="J136" i="74" s="1"/>
  <c r="L104" i="74"/>
  <c r="L136" i="74" s="1"/>
  <c r="J106" i="74"/>
  <c r="J138" i="74" s="1"/>
  <c r="L106" i="74"/>
  <c r="L138" i="74" s="1"/>
  <c r="S104" i="74"/>
  <c r="S136" i="74" s="1"/>
  <c r="P104" i="74"/>
  <c r="P136" i="74" s="1"/>
  <c r="Q104" i="74"/>
  <c r="Q136" i="74" s="1"/>
  <c r="X104" i="74"/>
  <c r="X136" i="74" s="1"/>
  <c r="T104" i="74"/>
  <c r="T136" i="74" s="1"/>
  <c r="W104" i="74"/>
  <c r="W136" i="74" s="1"/>
  <c r="N104" i="74"/>
  <c r="N136" i="74" s="1"/>
  <c r="K104" i="74"/>
  <c r="K136" i="74" s="1"/>
  <c r="R104" i="74"/>
  <c r="R136" i="74" s="1"/>
  <c r="Y104" i="74"/>
  <c r="Y136" i="74" s="1"/>
  <c r="U104" i="74"/>
  <c r="U136" i="74" s="1"/>
  <c r="M104" i="74"/>
  <c r="M136" i="74" s="1"/>
  <c r="V104" i="74"/>
  <c r="V136" i="74" s="1"/>
  <c r="O104" i="74"/>
  <c r="O136" i="74" s="1"/>
  <c r="U108" i="74"/>
  <c r="U140" i="74" s="1"/>
  <c r="S108" i="74"/>
  <c r="S140" i="74" s="1"/>
  <c r="X108" i="74"/>
  <c r="X140" i="74" s="1"/>
  <c r="V108" i="74"/>
  <c r="V140" i="74" s="1"/>
  <c r="R108" i="74"/>
  <c r="R140" i="74" s="1"/>
  <c r="O108" i="74"/>
  <c r="O140" i="74" s="1"/>
  <c r="W108" i="74"/>
  <c r="W140" i="74" s="1"/>
  <c r="Q108" i="74"/>
  <c r="Q140" i="74" s="1"/>
  <c r="K108" i="74"/>
  <c r="K140" i="74" s="1"/>
  <c r="N108" i="74"/>
  <c r="N140" i="74" s="1"/>
  <c r="Y108" i="74"/>
  <c r="Y140" i="74" s="1"/>
  <c r="T108" i="74"/>
  <c r="T140" i="74" s="1"/>
  <c r="P108" i="74"/>
  <c r="P140" i="74" s="1"/>
  <c r="M108" i="74"/>
  <c r="M140" i="74" s="1"/>
  <c r="J102" i="74"/>
  <c r="J134" i="74" s="1"/>
  <c r="L102" i="74"/>
  <c r="L134" i="74" s="1"/>
  <c r="J103" i="74"/>
  <c r="J135" i="74" s="1"/>
  <c r="L103" i="74"/>
  <c r="L135" i="74" s="1"/>
  <c r="Y106" i="74"/>
  <c r="Y138" i="74" s="1"/>
  <c r="P106" i="74"/>
  <c r="P138" i="74" s="1"/>
  <c r="M106" i="74"/>
  <c r="M138" i="74" s="1"/>
  <c r="Q106" i="74"/>
  <c r="Q138" i="74" s="1"/>
  <c r="S106" i="74"/>
  <c r="S138" i="74" s="1"/>
  <c r="T106" i="74"/>
  <c r="T138" i="74" s="1"/>
  <c r="N106" i="74"/>
  <c r="N138" i="74" s="1"/>
  <c r="K106" i="74"/>
  <c r="K138" i="74" s="1"/>
  <c r="W106" i="74"/>
  <c r="W138" i="74" s="1"/>
  <c r="O106" i="74"/>
  <c r="O138" i="74" s="1"/>
  <c r="X106" i="74"/>
  <c r="X138" i="74" s="1"/>
  <c r="V106" i="74"/>
  <c r="V138" i="74" s="1"/>
  <c r="R106" i="74"/>
  <c r="R138" i="74" s="1"/>
  <c r="U106" i="74"/>
  <c r="U138" i="74" s="1"/>
  <c r="J105" i="74"/>
  <c r="J137" i="74" s="1"/>
  <c r="L105" i="74"/>
  <c r="L137" i="74" s="1"/>
  <c r="P102" i="74"/>
  <c r="P134" i="74" s="1"/>
  <c r="V102" i="74"/>
  <c r="V134" i="74" s="1"/>
  <c r="R102" i="74"/>
  <c r="R134" i="74" s="1"/>
  <c r="N102" i="74"/>
  <c r="N134" i="74" s="1"/>
  <c r="W102" i="74"/>
  <c r="W134" i="74" s="1"/>
  <c r="O102" i="74"/>
  <c r="O134" i="74" s="1"/>
  <c r="S102" i="74"/>
  <c r="S134" i="74" s="1"/>
  <c r="M102" i="74"/>
  <c r="M134" i="74" s="1"/>
  <c r="T102" i="74"/>
  <c r="T134" i="74" s="1"/>
  <c r="Q102" i="74"/>
  <c r="Q134" i="74" s="1"/>
  <c r="Y102" i="74"/>
  <c r="Y134" i="74" s="1"/>
  <c r="X102" i="74"/>
  <c r="X134" i="74" s="1"/>
  <c r="U102" i="74"/>
  <c r="U134" i="74" s="1"/>
  <c r="K102" i="74"/>
  <c r="K134" i="74" s="1"/>
  <c r="L108" i="74"/>
  <c r="L140" i="74" s="1"/>
  <c r="J108" i="74"/>
  <c r="J140" i="74" s="1"/>
  <c r="X105" i="74"/>
  <c r="X137" i="74" s="1"/>
  <c r="Y105" i="74"/>
  <c r="Y137" i="74" s="1"/>
  <c r="V105" i="74"/>
  <c r="V137" i="74" s="1"/>
  <c r="Q105" i="74"/>
  <c r="Q137" i="74" s="1"/>
  <c r="R105" i="74"/>
  <c r="R137" i="74" s="1"/>
  <c r="W105" i="74"/>
  <c r="W137" i="74" s="1"/>
  <c r="U105" i="74"/>
  <c r="U137" i="74" s="1"/>
  <c r="O105" i="74"/>
  <c r="O137" i="74" s="1"/>
  <c r="N105" i="74"/>
  <c r="N137" i="74" s="1"/>
  <c r="S105" i="74"/>
  <c r="S137" i="74" s="1"/>
  <c r="P105" i="74"/>
  <c r="P137" i="74" s="1"/>
  <c r="T105" i="74"/>
  <c r="T137" i="74" s="1"/>
  <c r="M105" i="74"/>
  <c r="M137" i="74" s="1"/>
  <c r="K105" i="74"/>
  <c r="K137" i="74" s="1"/>
  <c r="J107" i="74"/>
  <c r="J139" i="74" s="1"/>
  <c r="L107" i="74"/>
  <c r="L139" i="74" s="1"/>
  <c r="J51" i="82" a="1"/>
  <c r="J51" i="82" s="1"/>
  <c r="K260" i="80"/>
  <c r="M260" i="80"/>
  <c r="H275" i="80"/>
  <c r="A4" i="53"/>
  <c r="J42" i="55"/>
  <c r="H160" i="80"/>
  <c r="U247" i="80" l="1"/>
  <c r="P260" i="80"/>
  <c r="S260" i="80"/>
  <c r="N260" i="80"/>
  <c r="O260" i="80"/>
  <c r="O277" i="80" s="1"/>
  <c r="Y260" i="80"/>
  <c r="T260" i="80"/>
  <c r="V247" i="80"/>
  <c r="T247" i="80"/>
  <c r="U260" i="80"/>
  <c r="R260" i="80"/>
  <c r="Q260" i="80"/>
  <c r="L247" i="80"/>
  <c r="X260" i="80"/>
  <c r="J247" i="80"/>
  <c r="W247" i="80"/>
  <c r="H32" i="73"/>
  <c r="L141" i="73" s="1"/>
  <c r="N247" i="80"/>
  <c r="V260" i="80"/>
  <c r="Q247" i="80"/>
  <c r="P247" i="80"/>
  <c r="X247" i="80"/>
  <c r="W260" i="80"/>
  <c r="M247" i="80"/>
  <c r="M277" i="80" s="1"/>
  <c r="Y247" i="80"/>
  <c r="L260" i="80"/>
  <c r="R247" i="80"/>
  <c r="R277" i="80" s="1"/>
  <c r="K247" i="80"/>
  <c r="K277" i="80" s="1"/>
  <c r="J260" i="80"/>
  <c r="S247" i="80"/>
  <c r="L51" i="82"/>
  <c r="M51" i="82"/>
  <c r="K51" i="82"/>
  <c r="N51" i="82"/>
  <c r="O51" i="82"/>
  <c r="U277" i="80" l="1"/>
  <c r="S277" i="80"/>
  <c r="P277" i="80"/>
  <c r="N277" i="80"/>
  <c r="Y277" i="80"/>
  <c r="T277" i="80"/>
  <c r="V277" i="80"/>
  <c r="Q277" i="80"/>
  <c r="L171" i="73"/>
  <c r="L231" i="73" s="1"/>
  <c r="P141" i="73"/>
  <c r="P201" i="73" s="1"/>
  <c r="M171" i="73"/>
  <c r="M231" i="73" s="1"/>
  <c r="X277" i="80"/>
  <c r="P171" i="73"/>
  <c r="P231" i="73" s="1"/>
  <c r="N171" i="73"/>
  <c r="N231" i="73" s="1"/>
  <c r="K171" i="73"/>
  <c r="K231" i="73" s="1"/>
  <c r="O171" i="73"/>
  <c r="O231" i="73" s="1"/>
  <c r="N141" i="73"/>
  <c r="N271" i="73" s="1"/>
  <c r="N34" i="74" s="1"/>
  <c r="O141" i="73"/>
  <c r="O271" i="73" s="1"/>
  <c r="O34" i="74" s="1"/>
  <c r="J171" i="73"/>
  <c r="J231" i="73" s="1"/>
  <c r="M141" i="73"/>
  <c r="M201" i="73" s="1"/>
  <c r="J141" i="73"/>
  <c r="J271" i="73" s="1"/>
  <c r="J34" i="74" s="1"/>
  <c r="L277" i="80"/>
  <c r="W277" i="80"/>
  <c r="J277" i="80"/>
  <c r="Q141" i="73"/>
  <c r="Q201" i="73" s="1"/>
  <c r="Q171" i="73"/>
  <c r="Q231" i="73" s="1"/>
  <c r="K141" i="73"/>
  <c r="K201" i="73" s="1"/>
  <c r="L201" i="73"/>
  <c r="L271" i="73"/>
  <c r="L34" i="74" s="1"/>
  <c r="P271" i="73" l="1"/>
  <c r="P34" i="74" s="1"/>
  <c r="P79" i="74" s="1"/>
  <c r="M271" i="73"/>
  <c r="M34" i="74" s="1"/>
  <c r="M79" i="74" s="1"/>
  <c r="H277" i="80"/>
  <c r="K64" i="81" s="1" a="1"/>
  <c r="L64" i="81" s="1"/>
  <c r="L67" i="81" s="1"/>
  <c r="O201" i="73"/>
  <c r="H281" i="80" a="1"/>
  <c r="H281" i="80" s="1"/>
  <c r="A4" i="80" s="1"/>
  <c r="N201" i="73"/>
  <c r="J201" i="73"/>
  <c r="Q271" i="73"/>
  <c r="Q34" i="74" s="1"/>
  <c r="Q79" i="74" s="1"/>
  <c r="K271" i="73"/>
  <c r="K34" i="74" s="1"/>
  <c r="K79" i="74" s="1"/>
  <c r="S79" i="74"/>
  <c r="R79" i="74"/>
  <c r="L79" i="74"/>
  <c r="O79" i="74"/>
  <c r="J79" i="74"/>
  <c r="N79" i="74"/>
  <c r="Q64" i="81" l="1"/>
  <c r="Q67" i="81" s="1"/>
  <c r="N64" i="81"/>
  <c r="N67" i="81" s="1"/>
  <c r="N73" i="81" s="1"/>
  <c r="N76" i="81" s="1"/>
  <c r="P64" i="81"/>
  <c r="P67" i="81" s="1"/>
  <c r="P73" i="81" s="1"/>
  <c r="P76" i="81" s="1"/>
  <c r="R64" i="81"/>
  <c r="R67" i="81" s="1"/>
  <c r="R73" i="81" s="1"/>
  <c r="R76" i="81" s="1"/>
  <c r="K64" i="81"/>
  <c r="K67" i="81" s="1"/>
  <c r="M64" i="81"/>
  <c r="M67" i="81" s="1"/>
  <c r="M73" i="81" s="1"/>
  <c r="M76" i="81" s="1"/>
  <c r="S64" i="81"/>
  <c r="S67" i="81" s="1"/>
  <c r="S73" i="81" s="1"/>
  <c r="S76" i="81" s="1"/>
  <c r="J43" i="55"/>
  <c r="O64" i="81"/>
  <c r="O67" i="81" s="1"/>
  <c r="O73" i="81" s="1"/>
  <c r="O76" i="81" s="1"/>
  <c r="J109" i="74"/>
  <c r="J141" i="74" s="1"/>
  <c r="U109" i="74"/>
  <c r="U141" i="74" s="1"/>
  <c r="S109" i="74"/>
  <c r="S141" i="74" s="1"/>
  <c r="X109" i="74"/>
  <c r="X141" i="74" s="1"/>
  <c r="O109" i="74"/>
  <c r="O141" i="74" s="1"/>
  <c r="T109" i="74"/>
  <c r="T141" i="74" s="1"/>
  <c r="Y109" i="74"/>
  <c r="Y141" i="74" s="1"/>
  <c r="P109" i="74"/>
  <c r="P141" i="74" s="1"/>
  <c r="Q109" i="74"/>
  <c r="Q141" i="74" s="1"/>
  <c r="V109" i="74"/>
  <c r="V141" i="74" s="1"/>
  <c r="W109" i="74"/>
  <c r="W141" i="74" s="1"/>
  <c r="R109" i="74"/>
  <c r="R141" i="74" s="1"/>
  <c r="S95" i="105"/>
  <c r="S94" i="105"/>
  <c r="S96" i="105"/>
  <c r="M109" i="74"/>
  <c r="M141" i="74" s="1"/>
  <c r="N109" i="74"/>
  <c r="N141" i="74" s="1"/>
  <c r="K109" i="74"/>
  <c r="K141" i="74" s="1"/>
  <c r="L109" i="74"/>
  <c r="L141" i="74" s="1"/>
  <c r="Q73" i="81"/>
  <c r="Q76" i="81" s="1"/>
  <c r="L73" i="81"/>
  <c r="L76" i="81" s="1"/>
  <c r="J65" i="81" l="1"/>
  <c r="J67" i="81" s="1"/>
  <c r="J100" i="81" s="1"/>
  <c r="J115" i="81" s="1"/>
  <c r="O94" i="105"/>
  <c r="P96" i="105"/>
  <c r="P94" i="105"/>
  <c r="O96" i="105"/>
  <c r="P95" i="105"/>
  <c r="O95" i="105"/>
  <c r="Q108" i="81"/>
  <c r="Q78" i="81"/>
  <c r="Q97" i="81" s="1"/>
  <c r="Q100" i="81" s="1"/>
  <c r="Q115" i="81" s="1"/>
  <c r="M108" i="81"/>
  <c r="M78" i="81"/>
  <c r="M97" i="81" s="1"/>
  <c r="M100" i="81" s="1"/>
  <c r="M115" i="81" s="1"/>
  <c r="S108" i="81"/>
  <c r="S78" i="81"/>
  <c r="S97" i="81" s="1"/>
  <c r="S100" i="81" s="1"/>
  <c r="S115" i="81" s="1"/>
  <c r="R108" i="81"/>
  <c r="R78" i="81"/>
  <c r="R97" i="81" s="1"/>
  <c r="R100" i="81" s="1"/>
  <c r="R115" i="81" s="1"/>
  <c r="O108" i="81"/>
  <c r="O78" i="81"/>
  <c r="O97" i="81" s="1"/>
  <c r="O100" i="81" s="1"/>
  <c r="O115" i="81" s="1"/>
  <c r="P78" i="81"/>
  <c r="P97" i="81" s="1"/>
  <c r="P100" i="81" s="1"/>
  <c r="P115" i="81" s="1"/>
  <c r="P108" i="81"/>
  <c r="L78" i="81"/>
  <c r="L97" i="81" s="1"/>
  <c r="L100" i="81" s="1"/>
  <c r="L115" i="81" s="1"/>
  <c r="U78" i="81"/>
  <c r="U97" i="81" s="1"/>
  <c r="L108" i="81"/>
  <c r="H123" i="81"/>
  <c r="H21" i="76" s="1"/>
  <c r="T78" i="81"/>
  <c r="T97" i="81" s="1"/>
  <c r="K78" i="81"/>
  <c r="N78" i="81"/>
  <c r="N97" i="81" s="1"/>
  <c r="N100" i="81" s="1"/>
  <c r="N115" i="81" s="1"/>
  <c r="N108" i="81"/>
  <c r="L52" i="82" l="1"/>
  <c r="R52" i="82"/>
  <c r="P52" i="82"/>
  <c r="Q52" i="82"/>
  <c r="N52" i="82"/>
  <c r="M52" i="82"/>
  <c r="O52" i="82"/>
  <c r="H35" i="76"/>
  <c r="H19" i="82" a="1"/>
  <c r="K52" i="82"/>
  <c r="K97" i="81"/>
  <c r="K100" i="81" l="1"/>
  <c r="K115" i="81" s="1"/>
  <c r="X43" i="76"/>
  <c r="X56" i="74" s="1"/>
  <c r="U43" i="76"/>
  <c r="U56" i="74" s="1"/>
  <c r="S42" i="76"/>
  <c r="S55" i="74" s="1"/>
  <c r="Q43" i="76"/>
  <c r="Q42" i="76"/>
  <c r="N43" i="76"/>
  <c r="N56" i="74" s="1"/>
  <c r="N42" i="76"/>
  <c r="N55" i="74" s="1"/>
  <c r="O43" i="76"/>
  <c r="O56" i="74" s="1"/>
  <c r="P43" i="76"/>
  <c r="P56" i="74" s="1"/>
  <c r="K42" i="76"/>
  <c r="K55" i="74" s="1"/>
  <c r="K43" i="76"/>
  <c r="K56" i="74" s="1"/>
  <c r="S43" i="76"/>
  <c r="S56" i="74" s="1"/>
  <c r="P42" i="76"/>
  <c r="P55" i="74" s="1"/>
  <c r="M42" i="76"/>
  <c r="M55" i="74" s="1"/>
  <c r="Q44" i="76"/>
  <c r="M43" i="76"/>
  <c r="M56" i="74" s="1"/>
  <c r="L42" i="76"/>
  <c r="L55" i="74" s="1"/>
  <c r="J42" i="76"/>
  <c r="J55" i="74" s="1"/>
  <c r="J43" i="76"/>
  <c r="J56" i="74" s="1"/>
  <c r="L43" i="76"/>
  <c r="L56" i="74" s="1"/>
  <c r="O42" i="76"/>
  <c r="O55" i="74" s="1"/>
  <c r="T42" i="76"/>
  <c r="T55" i="74" s="1"/>
  <c r="R43" i="76"/>
  <c r="R56" i="74" s="1"/>
  <c r="R42" i="76"/>
  <c r="R55" i="74" s="1"/>
  <c r="U42" i="76"/>
  <c r="U55" i="74" s="1"/>
  <c r="Y43" i="76"/>
  <c r="Y56" i="74" s="1"/>
  <c r="W42" i="76"/>
  <c r="W55" i="74" s="1"/>
  <c r="W43" i="76"/>
  <c r="W56" i="74" s="1"/>
  <c r="V42" i="76"/>
  <c r="V55" i="74" s="1"/>
  <c r="T43" i="76"/>
  <c r="T56" i="74" s="1"/>
  <c r="V43" i="76"/>
  <c r="V56" i="74" s="1"/>
  <c r="X42" i="76"/>
  <c r="X55" i="74" s="1"/>
  <c r="Y42" i="76"/>
  <c r="Y55" i="74" s="1"/>
  <c r="H20" i="82"/>
  <c r="H21" i="82"/>
  <c r="H19" i="82"/>
  <c r="H23" i="82"/>
  <c r="H22" i="82"/>
  <c r="H127" i="81" l="1" a="1"/>
  <c r="H127" i="81" s="1"/>
  <c r="H131" i="81" s="1"/>
  <c r="J45" i="55" s="1"/>
  <c r="H63" i="72" a="1"/>
  <c r="H30" i="83" a="1"/>
  <c r="H65" i="73" a="1"/>
  <c r="Q46" i="71"/>
  <c r="Q151" i="71" s="1"/>
  <c r="Q106" i="71"/>
  <c r="Q211" i="71" s="1"/>
  <c r="Q76" i="71"/>
  <c r="Q181" i="71" s="1"/>
  <c r="R157" i="74"/>
  <c r="S156" i="74"/>
  <c r="S157" i="74"/>
  <c r="R156" i="74"/>
  <c r="J156" i="74"/>
  <c r="U156" i="74"/>
  <c r="O157" i="74"/>
  <c r="L156" i="74"/>
  <c r="W156" i="74"/>
  <c r="Y157" i="74"/>
  <c r="K156" i="74"/>
  <c r="M156" i="74"/>
  <c r="N156" i="74"/>
  <c r="X156" i="74"/>
  <c r="M157" i="74"/>
  <c r="N157" i="74"/>
  <c r="U157" i="74"/>
  <c r="P157" i="74"/>
  <c r="P156" i="74"/>
  <c r="V157" i="74"/>
  <c r="X157" i="74"/>
  <c r="V156" i="74"/>
  <c r="J157" i="74"/>
  <c r="L157" i="74"/>
  <c r="K157" i="74"/>
  <c r="T156" i="74"/>
  <c r="O156" i="74"/>
  <c r="Y156" i="74"/>
  <c r="W157" i="74"/>
  <c r="T157" i="74"/>
  <c r="H48" i="76" a="1"/>
  <c r="H48" i="76" s="1"/>
  <c r="A4" i="81" l="1"/>
  <c r="H72" i="73"/>
  <c r="H71" i="73"/>
  <c r="H70" i="73"/>
  <c r="H68" i="73"/>
  <c r="H73" i="73"/>
  <c r="H65" i="73"/>
  <c r="H67" i="73"/>
  <c r="H69" i="73"/>
  <c r="H74" i="73"/>
  <c r="H66" i="73"/>
  <c r="H38" i="83"/>
  <c r="H35" i="83"/>
  <c r="H37" i="83"/>
  <c r="H33" i="83"/>
  <c r="H30" i="83"/>
  <c r="H32" i="83"/>
  <c r="H36" i="83"/>
  <c r="H39" i="83"/>
  <c r="H34" i="83"/>
  <c r="H31" i="83"/>
  <c r="H71" i="72"/>
  <c r="H69" i="72"/>
  <c r="H67" i="72"/>
  <c r="H66" i="72"/>
  <c r="H65" i="72"/>
  <c r="H64" i="72"/>
  <c r="H63" i="72"/>
  <c r="H72" i="72"/>
  <c r="H68" i="72"/>
  <c r="H70" i="72"/>
  <c r="S84" i="74"/>
  <c r="S91" i="74"/>
  <c r="S85" i="74"/>
  <c r="S86" i="74"/>
  <c r="S92" i="74"/>
  <c r="S89" i="74"/>
  <c r="S87" i="74"/>
  <c r="S90" i="74"/>
  <c r="S93" i="74"/>
  <c r="S88" i="74"/>
  <c r="R85" i="74"/>
  <c r="R87" i="74"/>
  <c r="R86" i="74"/>
  <c r="R84" i="74"/>
  <c r="R93" i="74"/>
  <c r="R92" i="74"/>
  <c r="R89" i="74"/>
  <c r="R88" i="74"/>
  <c r="R90" i="74"/>
  <c r="R91" i="74"/>
  <c r="A4" i="76"/>
  <c r="J47" i="55"/>
  <c r="W177" i="72" l="1"/>
  <c r="W212" i="72" s="1"/>
  <c r="W242" i="72" s="1"/>
  <c r="S177" i="72"/>
  <c r="S212" i="72" s="1"/>
  <c r="S242" i="72" s="1"/>
  <c r="Y177" i="72"/>
  <c r="Y212" i="72" s="1"/>
  <c r="Y242" i="72" s="1"/>
  <c r="U177" i="72"/>
  <c r="U212" i="72" s="1"/>
  <c r="U242" i="72" s="1"/>
  <c r="R177" i="72"/>
  <c r="R212" i="72" s="1"/>
  <c r="R242" i="72" s="1"/>
  <c r="X177" i="72"/>
  <c r="X212" i="72" s="1"/>
  <c r="X242" i="72" s="1"/>
  <c r="T177" i="72"/>
  <c r="T212" i="72" s="1"/>
  <c r="T242" i="72" s="1"/>
  <c r="V177" i="72"/>
  <c r="V212" i="72" s="1"/>
  <c r="V242" i="72" s="1"/>
  <c r="Y174" i="72"/>
  <c r="Y209" i="72" s="1"/>
  <c r="Y239" i="72" s="1"/>
  <c r="U174" i="72"/>
  <c r="U209" i="72" s="1"/>
  <c r="U239" i="72" s="1"/>
  <c r="X174" i="72"/>
  <c r="X209" i="72" s="1"/>
  <c r="X239" i="72" s="1"/>
  <c r="V174" i="72"/>
  <c r="V209" i="72" s="1"/>
  <c r="V239" i="72" s="1"/>
  <c r="W174" i="72"/>
  <c r="W209" i="72" s="1"/>
  <c r="W239" i="72" s="1"/>
  <c r="S174" i="72"/>
  <c r="S209" i="72" s="1"/>
  <c r="S239" i="72" s="1"/>
  <c r="T174" i="72"/>
  <c r="T209" i="72" s="1"/>
  <c r="T239" i="72" s="1"/>
  <c r="R174" i="72"/>
  <c r="R209" i="72" s="1"/>
  <c r="R239" i="72" s="1"/>
  <c r="W180" i="72"/>
  <c r="W215" i="72" s="1"/>
  <c r="W245" i="72" s="1"/>
  <c r="R180" i="72"/>
  <c r="R215" i="72" s="1"/>
  <c r="R245" i="72" s="1"/>
  <c r="T180" i="72"/>
  <c r="T215" i="72" s="1"/>
  <c r="T245" i="72" s="1"/>
  <c r="S180" i="72"/>
  <c r="S215" i="72" s="1"/>
  <c r="S245" i="72" s="1"/>
  <c r="U180" i="72"/>
  <c r="U215" i="72" s="1"/>
  <c r="U245" i="72" s="1"/>
  <c r="Y180" i="72"/>
  <c r="Y215" i="72" s="1"/>
  <c r="Y245" i="72" s="1"/>
  <c r="V180" i="72"/>
  <c r="V215" i="72" s="1"/>
  <c r="V245" i="72" s="1"/>
  <c r="X180" i="72"/>
  <c r="X215" i="72" s="1"/>
  <c r="X245" i="72" s="1"/>
  <c r="S231" i="83"/>
  <c r="S105" i="71" s="1"/>
  <c r="S210" i="71" s="1"/>
  <c r="R231" i="83"/>
  <c r="R105" i="71" s="1"/>
  <c r="R210" i="71" s="1"/>
  <c r="U231" i="83"/>
  <c r="U105" i="71" s="1"/>
  <c r="U210" i="71" s="1"/>
  <c r="P231" i="83"/>
  <c r="P105" i="71" s="1"/>
  <c r="P210" i="71" s="1"/>
  <c r="O202" i="83"/>
  <c r="O75" i="71" s="1"/>
  <c r="O180" i="71" s="1"/>
  <c r="N202" i="83"/>
  <c r="N75" i="71" s="1"/>
  <c r="N180" i="71" s="1"/>
  <c r="U202" i="83"/>
  <c r="U75" i="71" s="1"/>
  <c r="U180" i="71" s="1"/>
  <c r="T202" i="83"/>
  <c r="T75" i="71" s="1"/>
  <c r="T180" i="71" s="1"/>
  <c r="P173" i="83"/>
  <c r="P45" i="71" s="1"/>
  <c r="P150" i="71" s="1"/>
  <c r="S173" i="83"/>
  <c r="S45" i="71" s="1"/>
  <c r="S150" i="71" s="1"/>
  <c r="R173" i="83"/>
  <c r="R45" i="71" s="1"/>
  <c r="R150" i="71" s="1"/>
  <c r="Y173" i="83"/>
  <c r="Y45" i="71" s="1"/>
  <c r="Y150" i="71" s="1"/>
  <c r="T144" i="83"/>
  <c r="S144" i="83"/>
  <c r="R144" i="83"/>
  <c r="Y144" i="83"/>
  <c r="O231" i="83"/>
  <c r="O105" i="71" s="1"/>
  <c r="O210" i="71" s="1"/>
  <c r="N231" i="83"/>
  <c r="N105" i="71" s="1"/>
  <c r="N210" i="71" s="1"/>
  <c r="Q231" i="83"/>
  <c r="Q105" i="71" s="1"/>
  <c r="Q210" i="71" s="1"/>
  <c r="J231" i="83"/>
  <c r="J105" i="71" s="1"/>
  <c r="J210" i="71" s="1"/>
  <c r="M202" i="83"/>
  <c r="M75" i="71" s="1"/>
  <c r="M180" i="71" s="1"/>
  <c r="L202" i="83"/>
  <c r="Q202" i="83"/>
  <c r="Q75" i="71" s="1"/>
  <c r="Q180" i="71" s="1"/>
  <c r="P202" i="83"/>
  <c r="P75" i="71" s="1"/>
  <c r="P180" i="71" s="1"/>
  <c r="J173" i="83"/>
  <c r="J45" i="71" s="1"/>
  <c r="J150" i="71" s="1"/>
  <c r="O173" i="83"/>
  <c r="O45" i="71" s="1"/>
  <c r="O150" i="71" s="1"/>
  <c r="N173" i="83"/>
  <c r="N45" i="71" s="1"/>
  <c r="N150" i="71" s="1"/>
  <c r="Q173" i="83"/>
  <c r="Q45" i="71" s="1"/>
  <c r="Q150" i="71" s="1"/>
  <c r="P144" i="83"/>
  <c r="P146" i="72" s="1"/>
  <c r="P216" i="72" s="1"/>
  <c r="P246" i="72" s="1"/>
  <c r="O144" i="83"/>
  <c r="O146" i="72" s="1"/>
  <c r="O216" i="72" s="1"/>
  <c r="O246" i="72" s="1"/>
  <c r="N144" i="83"/>
  <c r="N146" i="72" s="1"/>
  <c r="N216" i="72" s="1"/>
  <c r="N246" i="72" s="1"/>
  <c r="K144" i="83"/>
  <c r="K146" i="72" s="1"/>
  <c r="K216" i="72" s="1"/>
  <c r="K246" i="72" s="1"/>
  <c r="M231" i="83"/>
  <c r="M105" i="71" s="1"/>
  <c r="M210" i="71" s="1"/>
  <c r="L231" i="83"/>
  <c r="L105" i="71" s="1"/>
  <c r="L210" i="71" s="1"/>
  <c r="K231" i="83"/>
  <c r="K105" i="71" s="1"/>
  <c r="K210" i="71" s="1"/>
  <c r="W202" i="83"/>
  <c r="W75" i="71" s="1"/>
  <c r="W180" i="71" s="1"/>
  <c r="V202" i="83"/>
  <c r="V75" i="71" s="1"/>
  <c r="V180" i="71" s="1"/>
  <c r="Y231" i="83"/>
  <c r="Y105" i="71" s="1"/>
  <c r="Y210" i="71" s="1"/>
  <c r="K202" i="83"/>
  <c r="K75" i="71" s="1"/>
  <c r="K180" i="71" s="1"/>
  <c r="X173" i="83"/>
  <c r="X45" i="71" s="1"/>
  <c r="X150" i="71" s="1"/>
  <c r="X202" i="83"/>
  <c r="X75" i="71" s="1"/>
  <c r="X180" i="71" s="1"/>
  <c r="M173" i="83"/>
  <c r="M45" i="71" s="1"/>
  <c r="M150" i="71" s="1"/>
  <c r="L173" i="83"/>
  <c r="L45" i="71" s="1"/>
  <c r="L150" i="71" s="1"/>
  <c r="K173" i="83"/>
  <c r="K45" i="71" s="1"/>
  <c r="K150" i="71" s="1"/>
  <c r="J144" i="83"/>
  <c r="J146" i="72" s="1"/>
  <c r="J216" i="72" s="1"/>
  <c r="J246" i="72" s="1"/>
  <c r="M144" i="83"/>
  <c r="M146" i="72" s="1"/>
  <c r="M216" i="72" s="1"/>
  <c r="M246" i="72" s="1"/>
  <c r="L144" i="83"/>
  <c r="L146" i="72" s="1"/>
  <c r="L216" i="72" s="1"/>
  <c r="L246" i="72" s="1"/>
  <c r="Q144" i="83"/>
  <c r="Q146" i="72" s="1"/>
  <c r="Q216" i="72" s="1"/>
  <c r="Q246" i="72" s="1"/>
  <c r="T231" i="83"/>
  <c r="T105" i="71" s="1"/>
  <c r="T210" i="71" s="1"/>
  <c r="J202" i="83"/>
  <c r="J75" i="71" s="1"/>
  <c r="J180" i="71" s="1"/>
  <c r="U173" i="83"/>
  <c r="U45" i="71" s="1"/>
  <c r="U150" i="71" s="1"/>
  <c r="U144" i="83"/>
  <c r="W231" i="83"/>
  <c r="W105" i="71" s="1"/>
  <c r="W210" i="71" s="1"/>
  <c r="S202" i="83"/>
  <c r="S75" i="71" s="1"/>
  <c r="S180" i="71" s="1"/>
  <c r="T173" i="83"/>
  <c r="T45" i="71" s="1"/>
  <c r="T150" i="71" s="1"/>
  <c r="X144" i="83"/>
  <c r="Y202" i="83"/>
  <c r="Y75" i="71" s="1"/>
  <c r="Y180" i="71" s="1"/>
  <c r="V144" i="83"/>
  <c r="V231" i="83"/>
  <c r="V105" i="71" s="1"/>
  <c r="V210" i="71" s="1"/>
  <c r="R202" i="83"/>
  <c r="R75" i="71" s="1"/>
  <c r="R180" i="71" s="1"/>
  <c r="W173" i="83"/>
  <c r="W45" i="71" s="1"/>
  <c r="W150" i="71" s="1"/>
  <c r="W144" i="83"/>
  <c r="X231" i="83"/>
  <c r="X105" i="71" s="1"/>
  <c r="X210" i="71" s="1"/>
  <c r="V173" i="83"/>
  <c r="V45" i="71" s="1"/>
  <c r="V150" i="71" s="1"/>
  <c r="R225" i="83"/>
  <c r="R99" i="71" s="1"/>
  <c r="R204" i="71" s="1"/>
  <c r="U225" i="83"/>
  <c r="U99" i="71" s="1"/>
  <c r="U204" i="71" s="1"/>
  <c r="T225" i="83"/>
  <c r="T99" i="71" s="1"/>
  <c r="T204" i="71" s="1"/>
  <c r="M225" i="83"/>
  <c r="M99" i="71" s="1"/>
  <c r="M204" i="71" s="1"/>
  <c r="R196" i="83"/>
  <c r="R69" i="71" s="1"/>
  <c r="R174" i="71" s="1"/>
  <c r="X196" i="83"/>
  <c r="X69" i="71" s="1"/>
  <c r="X174" i="71" s="1"/>
  <c r="M196" i="83"/>
  <c r="M69" i="71" s="1"/>
  <c r="M174" i="71" s="1"/>
  <c r="L196" i="83"/>
  <c r="L69" i="71" s="1"/>
  <c r="L174" i="71" s="1"/>
  <c r="S167" i="83"/>
  <c r="S39" i="71" s="1"/>
  <c r="S144" i="71" s="1"/>
  <c r="Q167" i="83"/>
  <c r="Q39" i="71" s="1"/>
  <c r="Q144" i="71" s="1"/>
  <c r="J167" i="83"/>
  <c r="J39" i="71" s="1"/>
  <c r="J144" i="71" s="1"/>
  <c r="X167" i="83"/>
  <c r="X39" i="71" s="1"/>
  <c r="X144" i="71" s="1"/>
  <c r="T138" i="83"/>
  <c r="S138" i="83"/>
  <c r="R138" i="83"/>
  <c r="Y138" i="83"/>
  <c r="N225" i="83"/>
  <c r="N99" i="71" s="1"/>
  <c r="N204" i="71" s="1"/>
  <c r="Q225" i="83"/>
  <c r="Q99" i="71" s="1"/>
  <c r="Q204" i="71" s="1"/>
  <c r="P225" i="83"/>
  <c r="P99" i="71" s="1"/>
  <c r="P204" i="71" s="1"/>
  <c r="W225" i="83"/>
  <c r="W99" i="71" s="1"/>
  <c r="W204" i="71" s="1"/>
  <c r="Y196" i="83"/>
  <c r="Y69" i="71" s="1"/>
  <c r="Y174" i="71" s="1"/>
  <c r="W196" i="83"/>
  <c r="W69" i="71" s="1"/>
  <c r="W174" i="71" s="1"/>
  <c r="T196" i="83"/>
  <c r="T69" i="71" s="1"/>
  <c r="T174" i="71" s="1"/>
  <c r="Q196" i="83"/>
  <c r="Q69" i="71" s="1"/>
  <c r="Q174" i="71" s="1"/>
  <c r="V167" i="83"/>
  <c r="V39" i="71" s="1"/>
  <c r="V144" i="71" s="1"/>
  <c r="K167" i="83"/>
  <c r="K39" i="71" s="1"/>
  <c r="K144" i="71" s="1"/>
  <c r="Y167" i="83"/>
  <c r="Y39" i="71" s="1"/>
  <c r="Y144" i="71" s="1"/>
  <c r="N167" i="83"/>
  <c r="N39" i="71" s="1"/>
  <c r="N144" i="71" s="1"/>
  <c r="P138" i="83"/>
  <c r="P140" i="72" s="1"/>
  <c r="P210" i="72" s="1"/>
  <c r="P240" i="72" s="1"/>
  <c r="O138" i="83"/>
  <c r="O140" i="72" s="1"/>
  <c r="O210" i="72" s="1"/>
  <c r="O240" i="72" s="1"/>
  <c r="N138" i="83"/>
  <c r="N140" i="72" s="1"/>
  <c r="N210" i="72" s="1"/>
  <c r="N240" i="72" s="1"/>
  <c r="Q138" i="83"/>
  <c r="Q140" i="72" s="1"/>
  <c r="Q210" i="72" s="1"/>
  <c r="Q240" i="72" s="1"/>
  <c r="L225" i="83"/>
  <c r="L99" i="71" s="1"/>
  <c r="L204" i="71" s="1"/>
  <c r="K225" i="83"/>
  <c r="K99" i="71" s="1"/>
  <c r="K204" i="71" s="1"/>
  <c r="J225" i="83"/>
  <c r="J99" i="71" s="1"/>
  <c r="J204" i="71" s="1"/>
  <c r="O225" i="83"/>
  <c r="O99" i="71" s="1"/>
  <c r="O204" i="71" s="1"/>
  <c r="P196" i="83"/>
  <c r="P69" i="71" s="1"/>
  <c r="P174" i="71" s="1"/>
  <c r="U196" i="83"/>
  <c r="U69" i="71" s="1"/>
  <c r="U174" i="71" s="1"/>
  <c r="S196" i="83"/>
  <c r="S69" i="71" s="1"/>
  <c r="S174" i="71" s="1"/>
  <c r="K196" i="83"/>
  <c r="K69" i="71" s="1"/>
  <c r="K174" i="71" s="1"/>
  <c r="R167" i="83"/>
  <c r="R39" i="71" s="1"/>
  <c r="R144" i="71" s="1"/>
  <c r="T167" i="83"/>
  <c r="T39" i="71" s="1"/>
  <c r="T144" i="71" s="1"/>
  <c r="O167" i="83"/>
  <c r="O39" i="71" s="1"/>
  <c r="O144" i="71" s="1"/>
  <c r="L167" i="83"/>
  <c r="L39" i="71" s="1"/>
  <c r="L144" i="71" s="1"/>
  <c r="J138" i="83"/>
  <c r="J140" i="72" s="1"/>
  <c r="J210" i="72" s="1"/>
  <c r="J240" i="72" s="1"/>
  <c r="M138" i="83"/>
  <c r="M140" i="72" s="1"/>
  <c r="M210" i="72" s="1"/>
  <c r="M240" i="72" s="1"/>
  <c r="L138" i="83"/>
  <c r="L140" i="72" s="1"/>
  <c r="L210" i="72" s="1"/>
  <c r="L240" i="72" s="1"/>
  <c r="K138" i="83"/>
  <c r="K140" i="72" s="1"/>
  <c r="K210" i="72" s="1"/>
  <c r="K240" i="72" s="1"/>
  <c r="S225" i="83"/>
  <c r="S99" i="71" s="1"/>
  <c r="S204" i="71" s="1"/>
  <c r="N196" i="83"/>
  <c r="N69" i="71" s="1"/>
  <c r="N174" i="71" s="1"/>
  <c r="M167" i="83"/>
  <c r="M39" i="71" s="1"/>
  <c r="M144" i="71" s="1"/>
  <c r="U138" i="83"/>
  <c r="V225" i="83"/>
  <c r="V99" i="71" s="1"/>
  <c r="V204" i="71" s="1"/>
  <c r="V196" i="83"/>
  <c r="V69" i="71" s="1"/>
  <c r="V174" i="71" s="1"/>
  <c r="W167" i="83"/>
  <c r="W39" i="71" s="1"/>
  <c r="W144" i="71" s="1"/>
  <c r="X138" i="83"/>
  <c r="O196" i="83"/>
  <c r="O69" i="71" s="1"/>
  <c r="O174" i="71" s="1"/>
  <c r="V138" i="83"/>
  <c r="Y225" i="83"/>
  <c r="Y99" i="71" s="1"/>
  <c r="Y204" i="71" s="1"/>
  <c r="J196" i="83"/>
  <c r="J69" i="71" s="1"/>
  <c r="J174" i="71" s="1"/>
  <c r="U167" i="83"/>
  <c r="U39" i="71" s="1"/>
  <c r="U144" i="71" s="1"/>
  <c r="W138" i="83"/>
  <c r="X225" i="83"/>
  <c r="X99" i="71" s="1"/>
  <c r="X204" i="71" s="1"/>
  <c r="P167" i="83"/>
  <c r="P39" i="71" s="1"/>
  <c r="P144" i="71" s="1"/>
  <c r="O148" i="73"/>
  <c r="O178" i="73"/>
  <c r="O238" i="73" s="1"/>
  <c r="N148" i="73"/>
  <c r="M148" i="73"/>
  <c r="Q148" i="73"/>
  <c r="N178" i="73"/>
  <c r="N238" i="73" s="1"/>
  <c r="K178" i="73"/>
  <c r="K238" i="73" s="1"/>
  <c r="J178" i="73"/>
  <c r="J238" i="73" s="1"/>
  <c r="M178" i="73"/>
  <c r="M238" i="73" s="1"/>
  <c r="P148" i="73"/>
  <c r="Q178" i="73"/>
  <c r="Q238" i="73" s="1"/>
  <c r="L148" i="73"/>
  <c r="J148" i="73"/>
  <c r="P178" i="73"/>
  <c r="P238" i="73" s="1"/>
  <c r="K148" i="73"/>
  <c r="L178" i="73"/>
  <c r="L238" i="73" s="1"/>
  <c r="Q151" i="73"/>
  <c r="P181" i="73"/>
  <c r="P241" i="73" s="1"/>
  <c r="J181" i="73"/>
  <c r="J241" i="73" s="1"/>
  <c r="N151" i="73"/>
  <c r="Q181" i="73"/>
  <c r="Q241" i="73" s="1"/>
  <c r="O151" i="73"/>
  <c r="O181" i="73"/>
  <c r="O241" i="73" s="1"/>
  <c r="P151" i="73"/>
  <c r="K151" i="73"/>
  <c r="L151" i="73"/>
  <c r="K181" i="73"/>
  <c r="K241" i="73" s="1"/>
  <c r="L181" i="73"/>
  <c r="L241" i="73" s="1"/>
  <c r="J151" i="73"/>
  <c r="N181" i="73"/>
  <c r="N241" i="73" s="1"/>
  <c r="M151" i="73"/>
  <c r="M181" i="73"/>
  <c r="M241" i="73" s="1"/>
  <c r="U179" i="72"/>
  <c r="U214" i="72" s="1"/>
  <c r="U244" i="72" s="1"/>
  <c r="S179" i="72"/>
  <c r="S214" i="72" s="1"/>
  <c r="S244" i="72" s="1"/>
  <c r="Y179" i="72"/>
  <c r="Y214" i="72" s="1"/>
  <c r="Y244" i="72" s="1"/>
  <c r="W179" i="72"/>
  <c r="W214" i="72" s="1"/>
  <c r="W244" i="72" s="1"/>
  <c r="R179" i="72"/>
  <c r="R214" i="72" s="1"/>
  <c r="R244" i="72" s="1"/>
  <c r="V179" i="72"/>
  <c r="V214" i="72" s="1"/>
  <c r="V244" i="72" s="1"/>
  <c r="X179" i="72"/>
  <c r="X214" i="72" s="1"/>
  <c r="X244" i="72" s="1"/>
  <c r="T179" i="72"/>
  <c r="T214" i="72" s="1"/>
  <c r="T244" i="72" s="1"/>
  <c r="Y173" i="72"/>
  <c r="Y208" i="72" s="1"/>
  <c r="Y238" i="72" s="1"/>
  <c r="U173" i="72"/>
  <c r="U208" i="72" s="1"/>
  <c r="U238" i="72" s="1"/>
  <c r="V173" i="72"/>
  <c r="V208" i="72" s="1"/>
  <c r="V238" i="72" s="1"/>
  <c r="T173" i="72"/>
  <c r="T208" i="72" s="1"/>
  <c r="T238" i="72" s="1"/>
  <c r="X173" i="72"/>
  <c r="X208" i="72" s="1"/>
  <c r="X238" i="72" s="1"/>
  <c r="R173" i="72"/>
  <c r="R208" i="72" s="1"/>
  <c r="R238" i="72" s="1"/>
  <c r="S173" i="72"/>
  <c r="S208" i="72" s="1"/>
  <c r="S238" i="72" s="1"/>
  <c r="W173" i="72"/>
  <c r="W208" i="72" s="1"/>
  <c r="W238" i="72" s="1"/>
  <c r="T178" i="72"/>
  <c r="T213" i="72" s="1"/>
  <c r="T243" i="72" s="1"/>
  <c r="S178" i="72"/>
  <c r="S213" i="72" s="1"/>
  <c r="S243" i="72" s="1"/>
  <c r="Y178" i="72"/>
  <c r="Y213" i="72" s="1"/>
  <c r="Y243" i="72" s="1"/>
  <c r="R178" i="72"/>
  <c r="R213" i="72" s="1"/>
  <c r="R243" i="72" s="1"/>
  <c r="U178" i="72"/>
  <c r="U213" i="72" s="1"/>
  <c r="U243" i="72" s="1"/>
  <c r="V178" i="72"/>
  <c r="V213" i="72" s="1"/>
  <c r="V243" i="72" s="1"/>
  <c r="X178" i="72"/>
  <c r="X213" i="72" s="1"/>
  <c r="X243" i="72" s="1"/>
  <c r="W178" i="72"/>
  <c r="W213" i="72" s="1"/>
  <c r="W243" i="72" s="1"/>
  <c r="L226" i="83"/>
  <c r="L100" i="71" s="1"/>
  <c r="L205" i="71" s="1"/>
  <c r="T226" i="83"/>
  <c r="T100" i="71" s="1"/>
  <c r="T205" i="71" s="1"/>
  <c r="Q226" i="83"/>
  <c r="Q100" i="71" s="1"/>
  <c r="Q205" i="71" s="1"/>
  <c r="Y226" i="83"/>
  <c r="Y100" i="71" s="1"/>
  <c r="Y205" i="71" s="1"/>
  <c r="R197" i="83"/>
  <c r="R70" i="71" s="1"/>
  <c r="R175" i="71" s="1"/>
  <c r="U197" i="83"/>
  <c r="U70" i="71" s="1"/>
  <c r="U175" i="71" s="1"/>
  <c r="T197" i="83"/>
  <c r="T70" i="71" s="1"/>
  <c r="T175" i="71" s="1"/>
  <c r="S168" i="83"/>
  <c r="S40" i="71" s="1"/>
  <c r="S145" i="71" s="1"/>
  <c r="V168" i="83"/>
  <c r="V40" i="71" s="1"/>
  <c r="V145" i="71" s="1"/>
  <c r="K197" i="83"/>
  <c r="K70" i="71" s="1"/>
  <c r="K175" i="71" s="1"/>
  <c r="T168" i="83"/>
  <c r="T40" i="71" s="1"/>
  <c r="T145" i="71" s="1"/>
  <c r="X168" i="83"/>
  <c r="X40" i="71" s="1"/>
  <c r="X145" i="71" s="1"/>
  <c r="J139" i="83"/>
  <c r="J141" i="72" s="1"/>
  <c r="J211" i="72" s="1"/>
  <c r="J241" i="72" s="1"/>
  <c r="M139" i="83"/>
  <c r="M141" i="72" s="1"/>
  <c r="M211" i="72" s="1"/>
  <c r="M241" i="72" s="1"/>
  <c r="L139" i="83"/>
  <c r="L141" i="72" s="1"/>
  <c r="L211" i="72" s="1"/>
  <c r="L241" i="72" s="1"/>
  <c r="K139" i="83"/>
  <c r="K141" i="72" s="1"/>
  <c r="K211" i="72" s="1"/>
  <c r="K241" i="72" s="1"/>
  <c r="V226" i="83"/>
  <c r="V100" i="71" s="1"/>
  <c r="V205" i="71" s="1"/>
  <c r="X226" i="83"/>
  <c r="X100" i="71" s="1"/>
  <c r="X205" i="71" s="1"/>
  <c r="S226" i="83"/>
  <c r="S100" i="71" s="1"/>
  <c r="S205" i="71" s="1"/>
  <c r="O226" i="83"/>
  <c r="O100" i="71" s="1"/>
  <c r="O205" i="71" s="1"/>
  <c r="W197" i="83"/>
  <c r="W70" i="71" s="1"/>
  <c r="W175" i="71" s="1"/>
  <c r="N197" i="83"/>
  <c r="N70" i="71" s="1"/>
  <c r="N175" i="71" s="1"/>
  <c r="Q197" i="83"/>
  <c r="Q70" i="71" s="1"/>
  <c r="Q175" i="71" s="1"/>
  <c r="M197" i="83"/>
  <c r="M70" i="71" s="1"/>
  <c r="M175" i="71" s="1"/>
  <c r="O168" i="83"/>
  <c r="O40" i="71" s="1"/>
  <c r="O145" i="71" s="1"/>
  <c r="R168" i="83"/>
  <c r="R40" i="71" s="1"/>
  <c r="R145" i="71" s="1"/>
  <c r="U168" i="83"/>
  <c r="U40" i="71" s="1"/>
  <c r="U145" i="71" s="1"/>
  <c r="P168" i="83"/>
  <c r="P40" i="71" s="1"/>
  <c r="P145" i="71" s="1"/>
  <c r="X139" i="83"/>
  <c r="W139" i="83"/>
  <c r="V139" i="83"/>
  <c r="U139" i="83"/>
  <c r="W226" i="83"/>
  <c r="W100" i="71" s="1"/>
  <c r="W205" i="71" s="1"/>
  <c r="K226" i="83"/>
  <c r="K100" i="71" s="1"/>
  <c r="K205" i="71" s="1"/>
  <c r="L197" i="83"/>
  <c r="L70" i="71" s="1"/>
  <c r="L175" i="71" s="1"/>
  <c r="X197" i="83"/>
  <c r="X70" i="71" s="1"/>
  <c r="X175" i="71" s="1"/>
  <c r="N168" i="83"/>
  <c r="N40" i="71" s="1"/>
  <c r="N145" i="71" s="1"/>
  <c r="J168" i="83"/>
  <c r="J40" i="71" s="1"/>
  <c r="J145" i="71" s="1"/>
  <c r="S139" i="83"/>
  <c r="Y139" i="83"/>
  <c r="U226" i="83"/>
  <c r="U100" i="71" s="1"/>
  <c r="U205" i="71" s="1"/>
  <c r="J226" i="83"/>
  <c r="J100" i="71" s="1"/>
  <c r="J205" i="71" s="1"/>
  <c r="Y197" i="83"/>
  <c r="Y70" i="71" s="1"/>
  <c r="Y175" i="71" s="1"/>
  <c r="W168" i="83"/>
  <c r="W40" i="71" s="1"/>
  <c r="W145" i="71" s="1"/>
  <c r="L168" i="83"/>
  <c r="L40" i="71" s="1"/>
  <c r="L145" i="71" s="1"/>
  <c r="Y168" i="83"/>
  <c r="Y40" i="71" s="1"/>
  <c r="Y145" i="71" s="1"/>
  <c r="O139" i="83"/>
  <c r="O141" i="72" s="1"/>
  <c r="O211" i="72" s="1"/>
  <c r="O241" i="72" s="1"/>
  <c r="Q139" i="83"/>
  <c r="Q141" i="72" s="1"/>
  <c r="Q211" i="72" s="1"/>
  <c r="Q241" i="72" s="1"/>
  <c r="R226" i="83"/>
  <c r="R100" i="71" s="1"/>
  <c r="R205" i="71" s="1"/>
  <c r="P226" i="83"/>
  <c r="P100" i="71" s="1"/>
  <c r="P205" i="71" s="1"/>
  <c r="S197" i="83"/>
  <c r="S70" i="71" s="1"/>
  <c r="S175" i="71" s="1"/>
  <c r="O197" i="83"/>
  <c r="O70" i="71" s="1"/>
  <c r="O175" i="71" s="1"/>
  <c r="M168" i="83"/>
  <c r="M40" i="71" s="1"/>
  <c r="M145" i="71" s="1"/>
  <c r="Q168" i="83"/>
  <c r="Q40" i="71" s="1"/>
  <c r="Q145" i="71" s="1"/>
  <c r="T139" i="83"/>
  <c r="R139" i="83"/>
  <c r="V197" i="83"/>
  <c r="V70" i="71" s="1"/>
  <c r="V175" i="71" s="1"/>
  <c r="P139" i="83"/>
  <c r="P141" i="72" s="1"/>
  <c r="P211" i="72" s="1"/>
  <c r="P241" i="72" s="1"/>
  <c r="J197" i="83"/>
  <c r="J70" i="71" s="1"/>
  <c r="J175" i="71" s="1"/>
  <c r="N139" i="83"/>
  <c r="N141" i="72" s="1"/>
  <c r="N211" i="72" s="1"/>
  <c r="N241" i="72" s="1"/>
  <c r="N226" i="83"/>
  <c r="N100" i="71" s="1"/>
  <c r="N205" i="71" s="1"/>
  <c r="P197" i="83"/>
  <c r="P70" i="71" s="1"/>
  <c r="P175" i="71" s="1"/>
  <c r="M226" i="83"/>
  <c r="M100" i="71" s="1"/>
  <c r="M205" i="71" s="1"/>
  <c r="K168" i="83"/>
  <c r="K40" i="71" s="1"/>
  <c r="K145" i="71" s="1"/>
  <c r="S222" i="83"/>
  <c r="S96" i="71" s="1"/>
  <c r="S201" i="71" s="1"/>
  <c r="R222" i="83"/>
  <c r="R96" i="71" s="1"/>
  <c r="R201" i="71" s="1"/>
  <c r="U222" i="83"/>
  <c r="U96" i="71" s="1"/>
  <c r="U201" i="71" s="1"/>
  <c r="P222" i="83"/>
  <c r="P96" i="71" s="1"/>
  <c r="P201" i="71" s="1"/>
  <c r="T193" i="83"/>
  <c r="T66" i="71" s="1"/>
  <c r="T171" i="71" s="1"/>
  <c r="S193" i="83"/>
  <c r="S66" i="71" s="1"/>
  <c r="S171" i="71" s="1"/>
  <c r="R193" i="83"/>
  <c r="R66" i="71" s="1"/>
  <c r="R171" i="71" s="1"/>
  <c r="Q193" i="83"/>
  <c r="Q66" i="71" s="1"/>
  <c r="Q171" i="71" s="1"/>
  <c r="U164" i="83"/>
  <c r="T164" i="83"/>
  <c r="S164" i="83"/>
  <c r="R164" i="83"/>
  <c r="T135" i="83"/>
  <c r="S135" i="83"/>
  <c r="R135" i="83"/>
  <c r="Y135" i="83"/>
  <c r="O222" i="83"/>
  <c r="O96" i="71" s="1"/>
  <c r="O201" i="71" s="1"/>
  <c r="L222" i="83"/>
  <c r="T222" i="83"/>
  <c r="T96" i="71" s="1"/>
  <c r="T201" i="71" s="1"/>
  <c r="P193" i="83"/>
  <c r="P66" i="71" s="1"/>
  <c r="P171" i="71" s="1"/>
  <c r="M193" i="83"/>
  <c r="Y193" i="83"/>
  <c r="Y66" i="71" s="1"/>
  <c r="Y171" i="71" s="1"/>
  <c r="Q164" i="83"/>
  <c r="J164" i="83"/>
  <c r="V164" i="83"/>
  <c r="P135" i="83"/>
  <c r="P137" i="72" s="1"/>
  <c r="P207" i="72" s="1"/>
  <c r="P237" i="72" s="1"/>
  <c r="M135" i="83"/>
  <c r="M137" i="72" s="1"/>
  <c r="M207" i="72" s="1"/>
  <c r="M237" i="72" s="1"/>
  <c r="U135" i="83"/>
  <c r="M222" i="83"/>
  <c r="Y222" i="83"/>
  <c r="Y96" i="71" s="1"/>
  <c r="Y201" i="71" s="1"/>
  <c r="X222" i="83"/>
  <c r="X96" i="71" s="1"/>
  <c r="X201" i="71" s="1"/>
  <c r="J193" i="83"/>
  <c r="V193" i="83"/>
  <c r="V66" i="71" s="1"/>
  <c r="V171" i="71" s="1"/>
  <c r="K193" i="83"/>
  <c r="K164" i="83"/>
  <c r="W164" i="83"/>
  <c r="N164" i="83"/>
  <c r="J135" i="83"/>
  <c r="J137" i="72" s="1"/>
  <c r="J207" i="72" s="1"/>
  <c r="J237" i="72" s="1"/>
  <c r="V135" i="83"/>
  <c r="Q135" i="83"/>
  <c r="Q137" i="72" s="1"/>
  <c r="Q207" i="72" s="1"/>
  <c r="Q237" i="72" s="1"/>
  <c r="V222" i="83"/>
  <c r="V96" i="71" s="1"/>
  <c r="V201" i="71" s="1"/>
  <c r="Q222" i="83"/>
  <c r="Q96" i="71" s="1"/>
  <c r="Q201" i="71" s="1"/>
  <c r="J222" i="83"/>
  <c r="W193" i="83"/>
  <c r="W66" i="71" s="1"/>
  <c r="W171" i="71" s="1"/>
  <c r="N193" i="83"/>
  <c r="N66" i="71" s="1"/>
  <c r="N171" i="71" s="1"/>
  <c r="U193" i="83"/>
  <c r="U66" i="71" s="1"/>
  <c r="U171" i="71" s="1"/>
  <c r="X164" i="83"/>
  <c r="O164" i="83"/>
  <c r="L164" i="83"/>
  <c r="W135" i="83"/>
  <c r="N135" i="83"/>
  <c r="N137" i="72" s="1"/>
  <c r="N207" i="72" s="1"/>
  <c r="N237" i="72" s="1"/>
  <c r="K135" i="83"/>
  <c r="K137" i="72" s="1"/>
  <c r="K207" i="72" s="1"/>
  <c r="K237" i="72" s="1"/>
  <c r="X193" i="83"/>
  <c r="X66" i="71" s="1"/>
  <c r="X171" i="71" s="1"/>
  <c r="P164" i="83"/>
  <c r="L135" i="83"/>
  <c r="L137" i="72" s="1"/>
  <c r="L207" i="72" s="1"/>
  <c r="L237" i="72" s="1"/>
  <c r="O135" i="83"/>
  <c r="O137" i="72" s="1"/>
  <c r="O207" i="72" s="1"/>
  <c r="O237" i="72" s="1"/>
  <c r="W222" i="83"/>
  <c r="W96" i="71" s="1"/>
  <c r="W201" i="71" s="1"/>
  <c r="O193" i="83"/>
  <c r="O66" i="71" s="1"/>
  <c r="O171" i="71" s="1"/>
  <c r="M164" i="83"/>
  <c r="Y164" i="83"/>
  <c r="N222" i="83"/>
  <c r="N96" i="71" s="1"/>
  <c r="N201" i="71" s="1"/>
  <c r="L193" i="83"/>
  <c r="X135" i="83"/>
  <c r="K222" i="83"/>
  <c r="M230" i="83"/>
  <c r="M104" i="71" s="1"/>
  <c r="M209" i="71" s="1"/>
  <c r="L230" i="83"/>
  <c r="L104" i="71" s="1"/>
  <c r="L209" i="71" s="1"/>
  <c r="K230" i="83"/>
  <c r="K104" i="71" s="1"/>
  <c r="K209" i="71" s="1"/>
  <c r="Y230" i="83"/>
  <c r="Y104" i="71" s="1"/>
  <c r="Y209" i="71" s="1"/>
  <c r="M201" i="83"/>
  <c r="M74" i="71" s="1"/>
  <c r="M179" i="71" s="1"/>
  <c r="L201" i="83"/>
  <c r="L74" i="71" s="1"/>
  <c r="L179" i="71" s="1"/>
  <c r="K201" i="83"/>
  <c r="K74" i="71" s="1"/>
  <c r="K179" i="71" s="1"/>
  <c r="X201" i="83"/>
  <c r="X74" i="71" s="1"/>
  <c r="X179" i="71" s="1"/>
  <c r="S172" i="83"/>
  <c r="S44" i="71" s="1"/>
  <c r="S149" i="71" s="1"/>
  <c r="R172" i="83"/>
  <c r="R44" i="71" s="1"/>
  <c r="R149" i="71" s="1"/>
  <c r="K172" i="83"/>
  <c r="K44" i="71" s="1"/>
  <c r="K149" i="71" s="1"/>
  <c r="Q172" i="83"/>
  <c r="Q44" i="71" s="1"/>
  <c r="Q149" i="71" s="1"/>
  <c r="J143" i="83"/>
  <c r="J145" i="72" s="1"/>
  <c r="J215" i="72" s="1"/>
  <c r="J245" i="72" s="1"/>
  <c r="M143" i="83"/>
  <c r="M145" i="72" s="1"/>
  <c r="M215" i="72" s="1"/>
  <c r="M245" i="72" s="1"/>
  <c r="L143" i="83"/>
  <c r="L145" i="72" s="1"/>
  <c r="L215" i="72" s="1"/>
  <c r="L245" i="72" s="1"/>
  <c r="K143" i="83"/>
  <c r="K145" i="72" s="1"/>
  <c r="K215" i="72" s="1"/>
  <c r="K245" i="72" s="1"/>
  <c r="W230" i="83"/>
  <c r="W104" i="71" s="1"/>
  <c r="W209" i="71" s="1"/>
  <c r="V230" i="83"/>
  <c r="V104" i="71" s="1"/>
  <c r="V209" i="71" s="1"/>
  <c r="X230" i="83"/>
  <c r="X104" i="71" s="1"/>
  <c r="X209" i="71" s="1"/>
  <c r="T230" i="83"/>
  <c r="T104" i="71" s="1"/>
  <c r="T209" i="71" s="1"/>
  <c r="W201" i="83"/>
  <c r="W74" i="71" s="1"/>
  <c r="W179" i="71" s="1"/>
  <c r="V201" i="83"/>
  <c r="V74" i="71" s="1"/>
  <c r="V179" i="71" s="1"/>
  <c r="Y201" i="83"/>
  <c r="Y74" i="71" s="1"/>
  <c r="Y179" i="71" s="1"/>
  <c r="J201" i="83"/>
  <c r="J74" i="71" s="1"/>
  <c r="J179" i="71" s="1"/>
  <c r="X172" i="83"/>
  <c r="X44" i="71" s="1"/>
  <c r="X149" i="71" s="1"/>
  <c r="O172" i="83"/>
  <c r="O44" i="71" s="1"/>
  <c r="O149" i="71" s="1"/>
  <c r="N172" i="83"/>
  <c r="N44" i="71" s="1"/>
  <c r="N149" i="71" s="1"/>
  <c r="Y172" i="83"/>
  <c r="Y44" i="71" s="1"/>
  <c r="Y149" i="71" s="1"/>
  <c r="X143" i="83"/>
  <c r="W143" i="83"/>
  <c r="V143" i="83"/>
  <c r="U143" i="83"/>
  <c r="R230" i="83"/>
  <c r="R104" i="71" s="1"/>
  <c r="R209" i="71" s="1"/>
  <c r="P230" i="83"/>
  <c r="P104" i="71" s="1"/>
  <c r="P209" i="71" s="1"/>
  <c r="R201" i="83"/>
  <c r="R74" i="71" s="1"/>
  <c r="R179" i="71" s="1"/>
  <c r="T201" i="83"/>
  <c r="T74" i="71" s="1"/>
  <c r="T179" i="71" s="1"/>
  <c r="M172" i="83"/>
  <c r="M44" i="71" s="1"/>
  <c r="M149" i="71" s="1"/>
  <c r="P172" i="83"/>
  <c r="P44" i="71" s="1"/>
  <c r="P149" i="71" s="1"/>
  <c r="S143" i="83"/>
  <c r="Y143" i="83"/>
  <c r="N230" i="83"/>
  <c r="N104" i="71" s="1"/>
  <c r="N209" i="71" s="1"/>
  <c r="J230" i="83"/>
  <c r="J104" i="71" s="1"/>
  <c r="J209" i="71" s="1"/>
  <c r="N201" i="83"/>
  <c r="N74" i="71" s="1"/>
  <c r="N179" i="71" s="1"/>
  <c r="P201" i="83"/>
  <c r="P74" i="71" s="1"/>
  <c r="P179" i="71" s="1"/>
  <c r="V172" i="83"/>
  <c r="V44" i="71" s="1"/>
  <c r="V149" i="71" s="1"/>
  <c r="J172" i="83"/>
  <c r="J44" i="71" s="1"/>
  <c r="J149" i="71" s="1"/>
  <c r="O143" i="83"/>
  <c r="O145" i="72" s="1"/>
  <c r="O215" i="72" s="1"/>
  <c r="O245" i="72" s="1"/>
  <c r="Q143" i="83"/>
  <c r="Q145" i="72" s="1"/>
  <c r="Q215" i="72" s="1"/>
  <c r="Q245" i="72" s="1"/>
  <c r="S230" i="83"/>
  <c r="S104" i="71" s="1"/>
  <c r="S209" i="71" s="1"/>
  <c r="U230" i="83"/>
  <c r="U104" i="71" s="1"/>
  <c r="U209" i="71" s="1"/>
  <c r="S201" i="83"/>
  <c r="S74" i="71" s="1"/>
  <c r="S179" i="71" s="1"/>
  <c r="U201" i="83"/>
  <c r="U74" i="71" s="1"/>
  <c r="U179" i="71" s="1"/>
  <c r="T172" i="83"/>
  <c r="T44" i="71" s="1"/>
  <c r="T149" i="71" s="1"/>
  <c r="L172" i="83"/>
  <c r="L44" i="71" s="1"/>
  <c r="L149" i="71" s="1"/>
  <c r="T143" i="83"/>
  <c r="R143" i="83"/>
  <c r="O201" i="83"/>
  <c r="O74" i="71" s="1"/>
  <c r="O179" i="71" s="1"/>
  <c r="P143" i="83"/>
  <c r="P145" i="72" s="1"/>
  <c r="P215" i="72" s="1"/>
  <c r="P245" i="72" s="1"/>
  <c r="Q201" i="83"/>
  <c r="Q74" i="71" s="1"/>
  <c r="Q179" i="71" s="1"/>
  <c r="N143" i="83"/>
  <c r="N145" i="72" s="1"/>
  <c r="N215" i="72" s="1"/>
  <c r="N245" i="72" s="1"/>
  <c r="O230" i="83"/>
  <c r="O104" i="71" s="1"/>
  <c r="O209" i="71" s="1"/>
  <c r="W172" i="83"/>
  <c r="W44" i="71" s="1"/>
  <c r="W149" i="71" s="1"/>
  <c r="Q230" i="83"/>
  <c r="Q104" i="71" s="1"/>
  <c r="Q209" i="71" s="1"/>
  <c r="U172" i="83"/>
  <c r="U44" i="71" s="1"/>
  <c r="U149" i="71" s="1"/>
  <c r="P180" i="73"/>
  <c r="P240" i="73" s="1"/>
  <c r="M180" i="73"/>
  <c r="M240" i="73" s="1"/>
  <c r="O150" i="73"/>
  <c r="M150" i="73"/>
  <c r="Q150" i="73"/>
  <c r="J150" i="73"/>
  <c r="K180" i="73"/>
  <c r="K240" i="73" s="1"/>
  <c r="K150" i="73"/>
  <c r="N180" i="73"/>
  <c r="N240" i="73" s="1"/>
  <c r="O180" i="73"/>
  <c r="O240" i="73" s="1"/>
  <c r="J180" i="73"/>
  <c r="J240" i="73" s="1"/>
  <c r="Q180" i="73"/>
  <c r="Q240" i="73" s="1"/>
  <c r="L180" i="73"/>
  <c r="L240" i="73" s="1"/>
  <c r="N150" i="73"/>
  <c r="L150" i="73"/>
  <c r="P150" i="73"/>
  <c r="M179" i="73"/>
  <c r="M239" i="73" s="1"/>
  <c r="L179" i="73"/>
  <c r="L239" i="73" s="1"/>
  <c r="K149" i="73"/>
  <c r="O179" i="73"/>
  <c r="O239" i="73" s="1"/>
  <c r="K179" i="73"/>
  <c r="K239" i="73" s="1"/>
  <c r="J149" i="73"/>
  <c r="J179" i="73"/>
  <c r="J239" i="73" s="1"/>
  <c r="L149" i="73"/>
  <c r="P149" i="73"/>
  <c r="M149" i="73"/>
  <c r="P179" i="73"/>
  <c r="P239" i="73" s="1"/>
  <c r="O149" i="73"/>
  <c r="N179" i="73"/>
  <c r="N239" i="73" s="1"/>
  <c r="Q179" i="73"/>
  <c r="Q239" i="73" s="1"/>
  <c r="N149" i="73"/>
  <c r="Q149" i="73"/>
  <c r="Y181" i="72"/>
  <c r="Y216" i="72" s="1"/>
  <c r="Y246" i="72" s="1"/>
  <c r="U181" i="72"/>
  <c r="U216" i="72" s="1"/>
  <c r="U246" i="72" s="1"/>
  <c r="X181" i="72"/>
  <c r="X216" i="72" s="1"/>
  <c r="X246" i="72" s="1"/>
  <c r="T181" i="72"/>
  <c r="T216" i="72" s="1"/>
  <c r="T246" i="72" s="1"/>
  <c r="V181" i="72"/>
  <c r="V216" i="72" s="1"/>
  <c r="V246" i="72" s="1"/>
  <c r="R181" i="72"/>
  <c r="R216" i="72" s="1"/>
  <c r="R246" i="72" s="1"/>
  <c r="S181" i="72"/>
  <c r="S216" i="72" s="1"/>
  <c r="S246" i="72" s="1"/>
  <c r="W181" i="72"/>
  <c r="W216" i="72" s="1"/>
  <c r="W246" i="72" s="1"/>
  <c r="U175" i="72"/>
  <c r="U210" i="72" s="1"/>
  <c r="U240" i="72" s="1"/>
  <c r="S175" i="72"/>
  <c r="S210" i="72" s="1"/>
  <c r="S240" i="72" s="1"/>
  <c r="Y175" i="72"/>
  <c r="Y210" i="72" s="1"/>
  <c r="Y240" i="72" s="1"/>
  <c r="W175" i="72"/>
  <c r="W210" i="72" s="1"/>
  <c r="W240" i="72" s="1"/>
  <c r="R175" i="72"/>
  <c r="R210" i="72" s="1"/>
  <c r="R240" i="72" s="1"/>
  <c r="X175" i="72"/>
  <c r="X210" i="72" s="1"/>
  <c r="X240" i="72" s="1"/>
  <c r="T175" i="72"/>
  <c r="T210" i="72" s="1"/>
  <c r="T240" i="72" s="1"/>
  <c r="V175" i="72"/>
  <c r="V210" i="72" s="1"/>
  <c r="V240" i="72" s="1"/>
  <c r="L228" i="83"/>
  <c r="L102" i="71" s="1"/>
  <c r="L207" i="71" s="1"/>
  <c r="T228" i="83"/>
  <c r="T102" i="71" s="1"/>
  <c r="T207" i="71" s="1"/>
  <c r="Q228" i="83"/>
  <c r="Q102" i="71" s="1"/>
  <c r="Q207" i="71" s="1"/>
  <c r="W199" i="83"/>
  <c r="W72" i="71" s="1"/>
  <c r="W177" i="71" s="1"/>
  <c r="J228" i="83"/>
  <c r="J102" i="71" s="1"/>
  <c r="J207" i="71" s="1"/>
  <c r="L199" i="83"/>
  <c r="L72" i="71" s="1"/>
  <c r="L177" i="71" s="1"/>
  <c r="K199" i="83"/>
  <c r="K72" i="71" s="1"/>
  <c r="K177" i="71" s="1"/>
  <c r="W170" i="83"/>
  <c r="W42" i="71" s="1"/>
  <c r="W147" i="71" s="1"/>
  <c r="X199" i="83"/>
  <c r="X72" i="71" s="1"/>
  <c r="X177" i="71" s="1"/>
  <c r="L170" i="83"/>
  <c r="L42" i="71" s="1"/>
  <c r="L147" i="71" s="1"/>
  <c r="T170" i="83"/>
  <c r="T42" i="71" s="1"/>
  <c r="T147" i="71" s="1"/>
  <c r="X170" i="83"/>
  <c r="X42" i="71" s="1"/>
  <c r="X147" i="71" s="1"/>
  <c r="J141" i="83"/>
  <c r="J143" i="72" s="1"/>
  <c r="J213" i="72" s="1"/>
  <c r="J243" i="72" s="1"/>
  <c r="M141" i="83"/>
  <c r="M143" i="72" s="1"/>
  <c r="M213" i="72" s="1"/>
  <c r="M243" i="72" s="1"/>
  <c r="L141" i="83"/>
  <c r="L143" i="72" s="1"/>
  <c r="L213" i="72" s="1"/>
  <c r="L243" i="72" s="1"/>
  <c r="K141" i="83"/>
  <c r="K143" i="72" s="1"/>
  <c r="K213" i="72" s="1"/>
  <c r="K243" i="72" s="1"/>
  <c r="V228" i="83"/>
  <c r="V102" i="71" s="1"/>
  <c r="V207" i="71" s="1"/>
  <c r="X228" i="83"/>
  <c r="X102" i="71" s="1"/>
  <c r="X207" i="71" s="1"/>
  <c r="S228" i="83"/>
  <c r="S102" i="71" s="1"/>
  <c r="S207" i="71" s="1"/>
  <c r="O228" i="83"/>
  <c r="O102" i="71" s="1"/>
  <c r="O207" i="71" s="1"/>
  <c r="S199" i="83"/>
  <c r="S72" i="71" s="1"/>
  <c r="S177" i="71" s="1"/>
  <c r="V199" i="83"/>
  <c r="V72" i="71" s="1"/>
  <c r="V177" i="71" s="1"/>
  <c r="Y199" i="83"/>
  <c r="Y72" i="71" s="1"/>
  <c r="Y177" i="71" s="1"/>
  <c r="J199" i="83"/>
  <c r="J72" i="71" s="1"/>
  <c r="J177" i="71" s="1"/>
  <c r="S170" i="83"/>
  <c r="S42" i="71" s="1"/>
  <c r="S147" i="71" s="1"/>
  <c r="V170" i="83"/>
  <c r="V42" i="71" s="1"/>
  <c r="V147" i="71" s="1"/>
  <c r="U170" i="83"/>
  <c r="U42" i="71" s="1"/>
  <c r="U147" i="71" s="1"/>
  <c r="P170" i="83"/>
  <c r="P42" i="71" s="1"/>
  <c r="P147" i="71" s="1"/>
  <c r="X141" i="83"/>
  <c r="W141" i="83"/>
  <c r="V141" i="83"/>
  <c r="U141" i="83"/>
  <c r="W228" i="83"/>
  <c r="W102" i="71" s="1"/>
  <c r="W207" i="71" s="1"/>
  <c r="K228" i="83"/>
  <c r="K102" i="71" s="1"/>
  <c r="K207" i="71" s="1"/>
  <c r="R199" i="83"/>
  <c r="R72" i="71" s="1"/>
  <c r="R177" i="71" s="1"/>
  <c r="T199" i="83"/>
  <c r="T72" i="71" s="1"/>
  <c r="T177" i="71" s="1"/>
  <c r="R170" i="83"/>
  <c r="R42" i="71" s="1"/>
  <c r="R147" i="71" s="1"/>
  <c r="J170" i="83"/>
  <c r="J42" i="71" s="1"/>
  <c r="J147" i="71" s="1"/>
  <c r="S141" i="83"/>
  <c r="Y141" i="83"/>
  <c r="U228" i="83"/>
  <c r="U102" i="71" s="1"/>
  <c r="U207" i="71" s="1"/>
  <c r="Y228" i="83"/>
  <c r="Y102" i="71" s="1"/>
  <c r="Y207" i="71" s="1"/>
  <c r="N199" i="83"/>
  <c r="N72" i="71" s="1"/>
  <c r="N177" i="71" s="1"/>
  <c r="P199" i="83"/>
  <c r="P72" i="71" s="1"/>
  <c r="P177" i="71" s="1"/>
  <c r="N170" i="83"/>
  <c r="N42" i="71" s="1"/>
  <c r="N147" i="71" s="1"/>
  <c r="Y170" i="83"/>
  <c r="Y42" i="71" s="1"/>
  <c r="Y147" i="71" s="1"/>
  <c r="O141" i="83"/>
  <c r="O143" i="72" s="1"/>
  <c r="O213" i="72" s="1"/>
  <c r="O243" i="72" s="1"/>
  <c r="Q141" i="83"/>
  <c r="Q143" i="72" s="1"/>
  <c r="Q213" i="72" s="1"/>
  <c r="Q243" i="72" s="1"/>
  <c r="R228" i="83"/>
  <c r="R102" i="71" s="1"/>
  <c r="R207" i="71" s="1"/>
  <c r="P228" i="83"/>
  <c r="P102" i="71" s="1"/>
  <c r="P207" i="71" s="1"/>
  <c r="O199" i="83"/>
  <c r="O72" i="71" s="1"/>
  <c r="O177" i="71" s="1"/>
  <c r="U199" i="83"/>
  <c r="U72" i="71" s="1"/>
  <c r="U177" i="71" s="1"/>
  <c r="O170" i="83"/>
  <c r="O42" i="71" s="1"/>
  <c r="O147" i="71" s="1"/>
  <c r="Q170" i="83"/>
  <c r="Q42" i="71" s="1"/>
  <c r="Q147" i="71" s="1"/>
  <c r="T141" i="83"/>
  <c r="R141" i="83"/>
  <c r="M199" i="83"/>
  <c r="M72" i="71" s="1"/>
  <c r="M177" i="71" s="1"/>
  <c r="P141" i="83"/>
  <c r="P143" i="72" s="1"/>
  <c r="P213" i="72" s="1"/>
  <c r="P243" i="72" s="1"/>
  <c r="Q199" i="83"/>
  <c r="Q72" i="71" s="1"/>
  <c r="Q177" i="71" s="1"/>
  <c r="N141" i="83"/>
  <c r="N143" i="72" s="1"/>
  <c r="N213" i="72" s="1"/>
  <c r="N243" i="72" s="1"/>
  <c r="N228" i="83"/>
  <c r="N102" i="71" s="1"/>
  <c r="N207" i="71" s="1"/>
  <c r="M170" i="83"/>
  <c r="M42" i="71" s="1"/>
  <c r="M147" i="71" s="1"/>
  <c r="K170" i="83"/>
  <c r="K42" i="71" s="1"/>
  <c r="K147" i="71" s="1"/>
  <c r="M228" i="83"/>
  <c r="M102" i="71" s="1"/>
  <c r="M207" i="71" s="1"/>
  <c r="L229" i="83"/>
  <c r="L103" i="71" s="1"/>
  <c r="L208" i="71" s="1"/>
  <c r="T229" i="83"/>
  <c r="T103" i="71" s="1"/>
  <c r="T208" i="71" s="1"/>
  <c r="Q229" i="83"/>
  <c r="Q103" i="71" s="1"/>
  <c r="Q208" i="71" s="1"/>
  <c r="W200" i="83"/>
  <c r="W73" i="71" s="1"/>
  <c r="W178" i="71" s="1"/>
  <c r="Y229" i="83"/>
  <c r="Y103" i="71" s="1"/>
  <c r="Y208" i="71" s="1"/>
  <c r="L200" i="83"/>
  <c r="L73" i="71" s="1"/>
  <c r="L178" i="71" s="1"/>
  <c r="K200" i="83"/>
  <c r="K73" i="71" s="1"/>
  <c r="K178" i="71" s="1"/>
  <c r="W171" i="83"/>
  <c r="W43" i="71" s="1"/>
  <c r="W148" i="71" s="1"/>
  <c r="V171" i="83"/>
  <c r="V43" i="71" s="1"/>
  <c r="V148" i="71" s="1"/>
  <c r="X200" i="83"/>
  <c r="X73" i="71" s="1"/>
  <c r="X178" i="71" s="1"/>
  <c r="T171" i="83"/>
  <c r="T43" i="71" s="1"/>
  <c r="T148" i="71" s="1"/>
  <c r="X171" i="83"/>
  <c r="X43" i="71" s="1"/>
  <c r="X148" i="71" s="1"/>
  <c r="J142" i="83"/>
  <c r="J144" i="72" s="1"/>
  <c r="J214" i="72" s="1"/>
  <c r="J244" i="72" s="1"/>
  <c r="M142" i="83"/>
  <c r="M144" i="72" s="1"/>
  <c r="M214" i="72" s="1"/>
  <c r="M244" i="72" s="1"/>
  <c r="L142" i="83"/>
  <c r="L144" i="72" s="1"/>
  <c r="L214" i="72" s="1"/>
  <c r="L244" i="72" s="1"/>
  <c r="K142" i="83"/>
  <c r="K144" i="72" s="1"/>
  <c r="K214" i="72" s="1"/>
  <c r="K244" i="72" s="1"/>
  <c r="V229" i="83"/>
  <c r="V103" i="71" s="1"/>
  <c r="V208" i="71" s="1"/>
  <c r="X229" i="83"/>
  <c r="X103" i="71" s="1"/>
  <c r="X208" i="71" s="1"/>
  <c r="S229" i="83"/>
  <c r="S103" i="71" s="1"/>
  <c r="S208" i="71" s="1"/>
  <c r="O229" i="83"/>
  <c r="O103" i="71" s="1"/>
  <c r="O208" i="71" s="1"/>
  <c r="S200" i="83"/>
  <c r="S73" i="71" s="1"/>
  <c r="S178" i="71" s="1"/>
  <c r="V200" i="83"/>
  <c r="V73" i="71" s="1"/>
  <c r="V178" i="71" s="1"/>
  <c r="Y200" i="83"/>
  <c r="Y73" i="71" s="1"/>
  <c r="Y178" i="71" s="1"/>
  <c r="J200" i="83"/>
  <c r="J73" i="71" s="1"/>
  <c r="J178" i="71" s="1"/>
  <c r="S171" i="83"/>
  <c r="S43" i="71" s="1"/>
  <c r="S148" i="71" s="1"/>
  <c r="R171" i="83"/>
  <c r="R43" i="71" s="1"/>
  <c r="R148" i="71" s="1"/>
  <c r="U171" i="83"/>
  <c r="U43" i="71" s="1"/>
  <c r="U148" i="71" s="1"/>
  <c r="P171" i="83"/>
  <c r="P43" i="71" s="1"/>
  <c r="P148" i="71" s="1"/>
  <c r="X142" i="83"/>
  <c r="W142" i="83"/>
  <c r="V142" i="83"/>
  <c r="U142" i="83"/>
  <c r="W229" i="83"/>
  <c r="W103" i="71" s="1"/>
  <c r="W208" i="71" s="1"/>
  <c r="K229" i="83"/>
  <c r="K103" i="71" s="1"/>
  <c r="K208" i="71" s="1"/>
  <c r="R200" i="83"/>
  <c r="R73" i="71" s="1"/>
  <c r="R178" i="71" s="1"/>
  <c r="T200" i="83"/>
  <c r="T73" i="71" s="1"/>
  <c r="T178" i="71" s="1"/>
  <c r="N171" i="83"/>
  <c r="N43" i="71" s="1"/>
  <c r="N148" i="71" s="1"/>
  <c r="J171" i="83"/>
  <c r="J43" i="71" s="1"/>
  <c r="J148" i="71" s="1"/>
  <c r="S142" i="83"/>
  <c r="Y142" i="83"/>
  <c r="U229" i="83"/>
  <c r="U103" i="71" s="1"/>
  <c r="U208" i="71" s="1"/>
  <c r="J229" i="83"/>
  <c r="J103" i="71" s="1"/>
  <c r="J208" i="71" s="1"/>
  <c r="N200" i="83"/>
  <c r="N73" i="71" s="1"/>
  <c r="N178" i="71" s="1"/>
  <c r="P200" i="83"/>
  <c r="P73" i="71" s="1"/>
  <c r="P178" i="71" s="1"/>
  <c r="L171" i="83"/>
  <c r="L43" i="71" s="1"/>
  <c r="L148" i="71" s="1"/>
  <c r="Y171" i="83"/>
  <c r="Y43" i="71" s="1"/>
  <c r="Y148" i="71" s="1"/>
  <c r="O142" i="83"/>
  <c r="O144" i="72" s="1"/>
  <c r="O214" i="72" s="1"/>
  <c r="O244" i="72" s="1"/>
  <c r="Q142" i="83"/>
  <c r="Q144" i="72" s="1"/>
  <c r="Q214" i="72" s="1"/>
  <c r="Q244" i="72" s="1"/>
  <c r="R229" i="83"/>
  <c r="R103" i="71" s="1"/>
  <c r="R208" i="71" s="1"/>
  <c r="P229" i="83"/>
  <c r="P103" i="71" s="1"/>
  <c r="P208" i="71" s="1"/>
  <c r="O200" i="83"/>
  <c r="O73" i="71" s="1"/>
  <c r="O178" i="71" s="1"/>
  <c r="U200" i="83"/>
  <c r="U73" i="71" s="1"/>
  <c r="U178" i="71" s="1"/>
  <c r="O171" i="83"/>
  <c r="O43" i="71" s="1"/>
  <c r="O148" i="71" s="1"/>
  <c r="Q171" i="83"/>
  <c r="Q43" i="71" s="1"/>
  <c r="Q148" i="71" s="1"/>
  <c r="T142" i="83"/>
  <c r="R142" i="83"/>
  <c r="M200" i="83"/>
  <c r="M73" i="71" s="1"/>
  <c r="M178" i="71" s="1"/>
  <c r="P142" i="83"/>
  <c r="P144" i="72" s="1"/>
  <c r="P214" i="72" s="1"/>
  <c r="P244" i="72" s="1"/>
  <c r="Q200" i="83"/>
  <c r="Q73" i="71" s="1"/>
  <c r="Q178" i="71" s="1"/>
  <c r="N142" i="83"/>
  <c r="N144" i="72" s="1"/>
  <c r="N214" i="72" s="1"/>
  <c r="N244" i="72" s="1"/>
  <c r="N229" i="83"/>
  <c r="N103" i="71" s="1"/>
  <c r="N208" i="71" s="1"/>
  <c r="M171" i="83"/>
  <c r="M43" i="71" s="1"/>
  <c r="M148" i="71" s="1"/>
  <c r="M229" i="83"/>
  <c r="M103" i="71" s="1"/>
  <c r="M208" i="71" s="1"/>
  <c r="K171" i="83"/>
  <c r="K43" i="71" s="1"/>
  <c r="K148" i="71" s="1"/>
  <c r="M147" i="73"/>
  <c r="P177" i="73"/>
  <c r="P237" i="73" s="1"/>
  <c r="O177" i="73"/>
  <c r="O237" i="73" s="1"/>
  <c r="K177" i="73"/>
  <c r="K237" i="73" s="1"/>
  <c r="L147" i="73"/>
  <c r="Q147" i="73"/>
  <c r="O147" i="73"/>
  <c r="Q177" i="73"/>
  <c r="Q237" i="73" s="1"/>
  <c r="P147" i="73"/>
  <c r="N147" i="73"/>
  <c r="J147" i="73"/>
  <c r="L177" i="73"/>
  <c r="L237" i="73" s="1"/>
  <c r="K147" i="73"/>
  <c r="M177" i="73"/>
  <c r="M237" i="73" s="1"/>
  <c r="N177" i="73"/>
  <c r="N237" i="73" s="1"/>
  <c r="J177" i="73"/>
  <c r="J237" i="73" s="1"/>
  <c r="P176" i="73"/>
  <c r="P236" i="73" s="1"/>
  <c r="J176" i="73"/>
  <c r="J236" i="73" s="1"/>
  <c r="K146" i="73"/>
  <c r="Q146" i="73"/>
  <c r="O176" i="73"/>
  <c r="O236" i="73" s="1"/>
  <c r="L146" i="73"/>
  <c r="P146" i="73"/>
  <c r="M176" i="73"/>
  <c r="M236" i="73" s="1"/>
  <c r="M146" i="73"/>
  <c r="O146" i="73"/>
  <c r="N176" i="73"/>
  <c r="N236" i="73" s="1"/>
  <c r="Q176" i="73"/>
  <c r="Q236" i="73" s="1"/>
  <c r="J146" i="73"/>
  <c r="K176" i="73"/>
  <c r="K236" i="73" s="1"/>
  <c r="N146" i="73"/>
  <c r="L176" i="73"/>
  <c r="L236" i="73" s="1"/>
  <c r="Q152" i="73"/>
  <c r="J182" i="73"/>
  <c r="J242" i="73" s="1"/>
  <c r="M182" i="73"/>
  <c r="M242" i="73" s="1"/>
  <c r="K182" i="73"/>
  <c r="K242" i="73" s="1"/>
  <c r="Q182" i="73"/>
  <c r="Q242" i="73" s="1"/>
  <c r="O182" i="73"/>
  <c r="O242" i="73" s="1"/>
  <c r="K152" i="73"/>
  <c r="J152" i="73"/>
  <c r="O152" i="73"/>
  <c r="P182" i="73"/>
  <c r="P242" i="73" s="1"/>
  <c r="L152" i="73"/>
  <c r="L182" i="73"/>
  <c r="L242" i="73" s="1"/>
  <c r="N152" i="73"/>
  <c r="N182" i="73"/>
  <c r="N242" i="73" s="1"/>
  <c r="P152" i="73"/>
  <c r="M152" i="73"/>
  <c r="Y172" i="72"/>
  <c r="Y207" i="72" s="1"/>
  <c r="Y237" i="72" s="1"/>
  <c r="V172" i="72"/>
  <c r="V207" i="72" s="1"/>
  <c r="V237" i="72" s="1"/>
  <c r="X172" i="72"/>
  <c r="X207" i="72" s="1"/>
  <c r="X237" i="72" s="1"/>
  <c r="U172" i="72"/>
  <c r="U207" i="72" s="1"/>
  <c r="U237" i="72" s="1"/>
  <c r="W172" i="72"/>
  <c r="W207" i="72" s="1"/>
  <c r="W237" i="72" s="1"/>
  <c r="R172" i="72"/>
  <c r="R207" i="72" s="1"/>
  <c r="R237" i="72" s="1"/>
  <c r="T172" i="72"/>
  <c r="T207" i="72" s="1"/>
  <c r="T237" i="72" s="1"/>
  <c r="S172" i="72"/>
  <c r="S207" i="72" s="1"/>
  <c r="S237" i="72" s="1"/>
  <c r="W176" i="72"/>
  <c r="W211" i="72" s="1"/>
  <c r="W241" i="72" s="1"/>
  <c r="S176" i="72"/>
  <c r="S211" i="72" s="1"/>
  <c r="S241" i="72" s="1"/>
  <c r="T176" i="72"/>
  <c r="T211" i="72" s="1"/>
  <c r="T241" i="72" s="1"/>
  <c r="R176" i="72"/>
  <c r="R211" i="72" s="1"/>
  <c r="R241" i="72" s="1"/>
  <c r="U176" i="72"/>
  <c r="U211" i="72" s="1"/>
  <c r="U241" i="72" s="1"/>
  <c r="Y176" i="72"/>
  <c r="Y211" i="72" s="1"/>
  <c r="Y241" i="72" s="1"/>
  <c r="X176" i="72"/>
  <c r="X211" i="72" s="1"/>
  <c r="X241" i="72" s="1"/>
  <c r="V176" i="72"/>
  <c r="V211" i="72" s="1"/>
  <c r="V241" i="72" s="1"/>
  <c r="V223" i="83"/>
  <c r="V97" i="71" s="1"/>
  <c r="V202" i="71" s="1"/>
  <c r="Q223" i="83"/>
  <c r="Q97" i="71" s="1"/>
  <c r="Q202" i="71" s="1"/>
  <c r="W223" i="83"/>
  <c r="W97" i="71" s="1"/>
  <c r="W202" i="71" s="1"/>
  <c r="K223" i="83"/>
  <c r="K97" i="71" s="1"/>
  <c r="K202" i="71" s="1"/>
  <c r="X194" i="83"/>
  <c r="X67" i="71" s="1"/>
  <c r="X172" i="71" s="1"/>
  <c r="W194" i="83"/>
  <c r="W67" i="71" s="1"/>
  <c r="W172" i="71" s="1"/>
  <c r="V194" i="83"/>
  <c r="V67" i="71" s="1"/>
  <c r="V172" i="71" s="1"/>
  <c r="Y194" i="83"/>
  <c r="Y67" i="71" s="1"/>
  <c r="Y172" i="71" s="1"/>
  <c r="Y165" i="83"/>
  <c r="Y37" i="71" s="1"/>
  <c r="Y142" i="71" s="1"/>
  <c r="R223" i="83"/>
  <c r="R97" i="71" s="1"/>
  <c r="R202" i="71" s="1"/>
  <c r="X223" i="83"/>
  <c r="X97" i="71" s="1"/>
  <c r="X202" i="71" s="1"/>
  <c r="N223" i="83"/>
  <c r="N97" i="71" s="1"/>
  <c r="N202" i="71" s="1"/>
  <c r="P223" i="83"/>
  <c r="P97" i="71" s="1"/>
  <c r="P202" i="71" s="1"/>
  <c r="T194" i="83"/>
  <c r="T67" i="71" s="1"/>
  <c r="T172" i="71" s="1"/>
  <c r="S194" i="83"/>
  <c r="S67" i="71" s="1"/>
  <c r="S172" i="71" s="1"/>
  <c r="R194" i="83"/>
  <c r="R67" i="71" s="1"/>
  <c r="R172" i="71" s="1"/>
  <c r="Q194" i="83"/>
  <c r="Q67" i="71" s="1"/>
  <c r="Q172" i="71" s="1"/>
  <c r="U165" i="83"/>
  <c r="U37" i="71" s="1"/>
  <c r="U142" i="71" s="1"/>
  <c r="T165" i="83"/>
  <c r="T37" i="71" s="1"/>
  <c r="T142" i="71" s="1"/>
  <c r="S165" i="83"/>
  <c r="S37" i="71" s="1"/>
  <c r="S142" i="71" s="1"/>
  <c r="R165" i="83"/>
  <c r="R37" i="71" s="1"/>
  <c r="R142" i="71" s="1"/>
  <c r="T136" i="83"/>
  <c r="S136" i="83"/>
  <c r="R136" i="83"/>
  <c r="Y136" i="83"/>
  <c r="Y223" i="83"/>
  <c r="Y97" i="71" s="1"/>
  <c r="Y202" i="71" s="1"/>
  <c r="O223" i="83"/>
  <c r="O97" i="71" s="1"/>
  <c r="O202" i="71" s="1"/>
  <c r="L223" i="83"/>
  <c r="L97" i="71" s="1"/>
  <c r="L202" i="71" s="1"/>
  <c r="T223" i="83"/>
  <c r="T97" i="71" s="1"/>
  <c r="T202" i="71" s="1"/>
  <c r="P194" i="83"/>
  <c r="P67" i="71" s="1"/>
  <c r="P172" i="71" s="1"/>
  <c r="O194" i="83"/>
  <c r="O67" i="71" s="1"/>
  <c r="O172" i="71" s="1"/>
  <c r="N194" i="83"/>
  <c r="N67" i="71" s="1"/>
  <c r="N172" i="71" s="1"/>
  <c r="K194" i="83"/>
  <c r="K67" i="71" s="1"/>
  <c r="K172" i="71" s="1"/>
  <c r="Q165" i="83"/>
  <c r="Q37" i="71" s="1"/>
  <c r="Q142" i="71" s="1"/>
  <c r="P165" i="83"/>
  <c r="P37" i="71" s="1"/>
  <c r="P142" i="71" s="1"/>
  <c r="O165" i="83"/>
  <c r="O37" i="71" s="1"/>
  <c r="O142" i="71" s="1"/>
  <c r="N165" i="83"/>
  <c r="N37" i="71" s="1"/>
  <c r="N142" i="71" s="1"/>
  <c r="P136" i="83"/>
  <c r="P138" i="72" s="1"/>
  <c r="P208" i="72" s="1"/>
  <c r="P238" i="72" s="1"/>
  <c r="O136" i="83"/>
  <c r="O138" i="72" s="1"/>
  <c r="O208" i="72" s="1"/>
  <c r="O238" i="72" s="1"/>
  <c r="N136" i="83"/>
  <c r="N138" i="72" s="1"/>
  <c r="N208" i="72" s="1"/>
  <c r="N238" i="72" s="1"/>
  <c r="K136" i="83"/>
  <c r="K138" i="72" s="1"/>
  <c r="K208" i="72" s="1"/>
  <c r="K238" i="72" s="1"/>
  <c r="U223" i="83"/>
  <c r="U97" i="71" s="1"/>
  <c r="U202" i="71" s="1"/>
  <c r="J194" i="83"/>
  <c r="J67" i="71" s="1"/>
  <c r="J172" i="71" s="1"/>
  <c r="K165" i="83"/>
  <c r="K37" i="71" s="1"/>
  <c r="K142" i="71" s="1"/>
  <c r="M165" i="83"/>
  <c r="M37" i="71" s="1"/>
  <c r="M142" i="71" s="1"/>
  <c r="J136" i="83"/>
  <c r="J138" i="72" s="1"/>
  <c r="J208" i="72" s="1"/>
  <c r="J238" i="72" s="1"/>
  <c r="L136" i="83"/>
  <c r="L138" i="72" s="1"/>
  <c r="L208" i="72" s="1"/>
  <c r="L238" i="72" s="1"/>
  <c r="M223" i="83"/>
  <c r="M97" i="71" s="1"/>
  <c r="M202" i="71" s="1"/>
  <c r="M194" i="83"/>
  <c r="M67" i="71" s="1"/>
  <c r="M172" i="71" s="1"/>
  <c r="X165" i="83"/>
  <c r="X37" i="71" s="1"/>
  <c r="X142" i="71" s="1"/>
  <c r="V165" i="83"/>
  <c r="V37" i="71" s="1"/>
  <c r="V142" i="71" s="1"/>
  <c r="W136" i="83"/>
  <c r="U136" i="83"/>
  <c r="S223" i="83"/>
  <c r="S97" i="71" s="1"/>
  <c r="S202" i="71" s="1"/>
  <c r="L194" i="83"/>
  <c r="L67" i="71" s="1"/>
  <c r="L172" i="71" s="1"/>
  <c r="J165" i="83"/>
  <c r="J37" i="71" s="1"/>
  <c r="J142" i="71" s="1"/>
  <c r="L165" i="83"/>
  <c r="L37" i="71" s="1"/>
  <c r="L142" i="71" s="1"/>
  <c r="M136" i="83"/>
  <c r="M138" i="72" s="1"/>
  <c r="M208" i="72" s="1"/>
  <c r="M238" i="72" s="1"/>
  <c r="Q136" i="83"/>
  <c r="Q138" i="72" s="1"/>
  <c r="Q208" i="72" s="1"/>
  <c r="Q238" i="72" s="1"/>
  <c r="J223" i="83"/>
  <c r="J97" i="71" s="1"/>
  <c r="J202" i="71" s="1"/>
  <c r="V136" i="83"/>
  <c r="U194" i="83"/>
  <c r="U67" i="71" s="1"/>
  <c r="U172" i="71" s="1"/>
  <c r="X136" i="83"/>
  <c r="W165" i="83"/>
  <c r="W37" i="71" s="1"/>
  <c r="W142" i="71" s="1"/>
  <c r="L224" i="83"/>
  <c r="L98" i="71" s="1"/>
  <c r="L203" i="71" s="1"/>
  <c r="K224" i="83"/>
  <c r="K98" i="71" s="1"/>
  <c r="K203" i="71" s="1"/>
  <c r="J224" i="83"/>
  <c r="J98" i="71" s="1"/>
  <c r="J203" i="71" s="1"/>
  <c r="X195" i="83"/>
  <c r="X68" i="71" s="1"/>
  <c r="X173" i="71" s="1"/>
  <c r="W195" i="83"/>
  <c r="W68" i="71" s="1"/>
  <c r="W173" i="71" s="1"/>
  <c r="V224" i="83"/>
  <c r="V98" i="71" s="1"/>
  <c r="V203" i="71" s="1"/>
  <c r="Y224" i="83"/>
  <c r="Y98" i="71" s="1"/>
  <c r="Y203" i="71" s="1"/>
  <c r="X224" i="83"/>
  <c r="X98" i="71" s="1"/>
  <c r="X203" i="71" s="1"/>
  <c r="S224" i="83"/>
  <c r="S98" i="71" s="1"/>
  <c r="S203" i="71" s="1"/>
  <c r="T195" i="83"/>
  <c r="T68" i="71" s="1"/>
  <c r="T173" i="71" s="1"/>
  <c r="U224" i="83"/>
  <c r="U98" i="71" s="1"/>
  <c r="U203" i="71" s="1"/>
  <c r="M224" i="83"/>
  <c r="M98" i="71" s="1"/>
  <c r="M203" i="71" s="1"/>
  <c r="S195" i="83"/>
  <c r="S68" i="71" s="1"/>
  <c r="S173" i="71" s="1"/>
  <c r="V195" i="83"/>
  <c r="V68" i="71" s="1"/>
  <c r="V173" i="71" s="1"/>
  <c r="Y195" i="83"/>
  <c r="Y68" i="71" s="1"/>
  <c r="Y173" i="71" s="1"/>
  <c r="Y166" i="83"/>
  <c r="Y38" i="71" s="1"/>
  <c r="Y143" i="71" s="1"/>
  <c r="X166" i="83"/>
  <c r="X38" i="71" s="1"/>
  <c r="X143" i="71" s="1"/>
  <c r="W166" i="83"/>
  <c r="W38" i="71" s="1"/>
  <c r="W143" i="71" s="1"/>
  <c r="V166" i="83"/>
  <c r="V38" i="71" s="1"/>
  <c r="V143" i="71" s="1"/>
  <c r="X137" i="83"/>
  <c r="W137" i="83"/>
  <c r="V137" i="83"/>
  <c r="U137" i="83"/>
  <c r="Q224" i="83"/>
  <c r="Q98" i="71" s="1"/>
  <c r="Q203" i="71" s="1"/>
  <c r="W224" i="83"/>
  <c r="W98" i="71" s="1"/>
  <c r="W203" i="71" s="1"/>
  <c r="O195" i="83"/>
  <c r="O68" i="71" s="1"/>
  <c r="O173" i="71" s="1"/>
  <c r="R195" i="83"/>
  <c r="R68" i="71" s="1"/>
  <c r="R173" i="71" s="1"/>
  <c r="Q195" i="83"/>
  <c r="Q68" i="71" s="1"/>
  <c r="Q173" i="71" s="1"/>
  <c r="U166" i="83"/>
  <c r="U38" i="71" s="1"/>
  <c r="U143" i="71" s="1"/>
  <c r="T166" i="83"/>
  <c r="T38" i="71" s="1"/>
  <c r="T143" i="71" s="1"/>
  <c r="S166" i="83"/>
  <c r="S38" i="71" s="1"/>
  <c r="S143" i="71" s="1"/>
  <c r="R166" i="83"/>
  <c r="R38" i="71" s="1"/>
  <c r="R143" i="71" s="1"/>
  <c r="T137" i="83"/>
  <c r="S137" i="83"/>
  <c r="R137" i="83"/>
  <c r="Y137" i="83"/>
  <c r="R224" i="83"/>
  <c r="R98" i="71" s="1"/>
  <c r="R203" i="71" s="1"/>
  <c r="T224" i="83"/>
  <c r="T98" i="71" s="1"/>
  <c r="T203" i="71" s="1"/>
  <c r="P195" i="83"/>
  <c r="P68" i="71" s="1"/>
  <c r="P173" i="71" s="1"/>
  <c r="M195" i="83"/>
  <c r="M68" i="71" s="1"/>
  <c r="M173" i="71" s="1"/>
  <c r="N195" i="83"/>
  <c r="N68" i="71" s="1"/>
  <c r="N173" i="71" s="1"/>
  <c r="K195" i="83"/>
  <c r="K68" i="71" s="1"/>
  <c r="K173" i="71" s="1"/>
  <c r="Q166" i="83"/>
  <c r="Q38" i="71" s="1"/>
  <c r="Q143" i="71" s="1"/>
  <c r="P166" i="83"/>
  <c r="P38" i="71" s="1"/>
  <c r="P143" i="71" s="1"/>
  <c r="O166" i="83"/>
  <c r="O38" i="71" s="1"/>
  <c r="O143" i="71" s="1"/>
  <c r="N166" i="83"/>
  <c r="N38" i="71" s="1"/>
  <c r="N143" i="71" s="1"/>
  <c r="P137" i="83"/>
  <c r="P139" i="72" s="1"/>
  <c r="P209" i="72" s="1"/>
  <c r="P239" i="72" s="1"/>
  <c r="O137" i="83"/>
  <c r="O139" i="72" s="1"/>
  <c r="O209" i="72" s="1"/>
  <c r="O239" i="72" s="1"/>
  <c r="N137" i="83"/>
  <c r="N139" i="72" s="1"/>
  <c r="N209" i="72" s="1"/>
  <c r="N239" i="72" s="1"/>
  <c r="Q137" i="83"/>
  <c r="Q139" i="72" s="1"/>
  <c r="Q209" i="72" s="1"/>
  <c r="Q239" i="72" s="1"/>
  <c r="J195" i="83"/>
  <c r="J68" i="71" s="1"/>
  <c r="J173" i="71" s="1"/>
  <c r="K166" i="83"/>
  <c r="K38" i="71" s="1"/>
  <c r="K143" i="71" s="1"/>
  <c r="J137" i="83"/>
  <c r="J139" i="72" s="1"/>
  <c r="J209" i="72" s="1"/>
  <c r="J239" i="72" s="1"/>
  <c r="O224" i="83"/>
  <c r="O98" i="71" s="1"/>
  <c r="O203" i="71" s="1"/>
  <c r="J166" i="83"/>
  <c r="J38" i="71" s="1"/>
  <c r="J143" i="71" s="1"/>
  <c r="M137" i="83"/>
  <c r="M139" i="72" s="1"/>
  <c r="M209" i="72" s="1"/>
  <c r="M239" i="72" s="1"/>
  <c r="N224" i="83"/>
  <c r="N98" i="71" s="1"/>
  <c r="N203" i="71" s="1"/>
  <c r="L195" i="83"/>
  <c r="L68" i="71" s="1"/>
  <c r="L173" i="71" s="1"/>
  <c r="M166" i="83"/>
  <c r="M38" i="71" s="1"/>
  <c r="M143" i="71" s="1"/>
  <c r="L137" i="83"/>
  <c r="L139" i="72" s="1"/>
  <c r="L209" i="72" s="1"/>
  <c r="L239" i="72" s="1"/>
  <c r="P224" i="83"/>
  <c r="P98" i="71" s="1"/>
  <c r="P203" i="71" s="1"/>
  <c r="U195" i="83"/>
  <c r="U68" i="71" s="1"/>
  <c r="U173" i="71" s="1"/>
  <c r="L166" i="83"/>
  <c r="L38" i="71" s="1"/>
  <c r="L143" i="71" s="1"/>
  <c r="K137" i="83"/>
  <c r="K139" i="72" s="1"/>
  <c r="K209" i="72" s="1"/>
  <c r="K239" i="72" s="1"/>
  <c r="L227" i="83"/>
  <c r="L101" i="71" s="1"/>
  <c r="L206" i="71" s="1"/>
  <c r="T227" i="83"/>
  <c r="T101" i="71" s="1"/>
  <c r="T206" i="71" s="1"/>
  <c r="Q227" i="83"/>
  <c r="Q101" i="71" s="1"/>
  <c r="Q206" i="71" s="1"/>
  <c r="Y227" i="83"/>
  <c r="Y101" i="71" s="1"/>
  <c r="Y206" i="71" s="1"/>
  <c r="M198" i="83"/>
  <c r="M71" i="71" s="1"/>
  <c r="M176" i="71" s="1"/>
  <c r="L198" i="83"/>
  <c r="L71" i="71" s="1"/>
  <c r="L176" i="71" s="1"/>
  <c r="K198" i="83"/>
  <c r="K71" i="71" s="1"/>
  <c r="K176" i="71" s="1"/>
  <c r="X198" i="83"/>
  <c r="X71" i="71" s="1"/>
  <c r="X176" i="71" s="1"/>
  <c r="M169" i="83"/>
  <c r="M41" i="71" s="1"/>
  <c r="M146" i="71" s="1"/>
  <c r="L169" i="83"/>
  <c r="L41" i="71" s="1"/>
  <c r="L146" i="71" s="1"/>
  <c r="T169" i="83"/>
  <c r="T41" i="71" s="1"/>
  <c r="T146" i="71" s="1"/>
  <c r="X169" i="83"/>
  <c r="X41" i="71" s="1"/>
  <c r="X146" i="71" s="1"/>
  <c r="J140" i="83"/>
  <c r="J142" i="72" s="1"/>
  <c r="J212" i="72" s="1"/>
  <c r="J242" i="72" s="1"/>
  <c r="M140" i="83"/>
  <c r="M142" i="72" s="1"/>
  <c r="M212" i="72" s="1"/>
  <c r="M242" i="72" s="1"/>
  <c r="L140" i="83"/>
  <c r="L142" i="72" s="1"/>
  <c r="L212" i="72" s="1"/>
  <c r="L242" i="72" s="1"/>
  <c r="Q140" i="83"/>
  <c r="Q142" i="72" s="1"/>
  <c r="Q212" i="72" s="1"/>
  <c r="Q242" i="72" s="1"/>
  <c r="V227" i="83"/>
  <c r="V101" i="71" s="1"/>
  <c r="V206" i="71" s="1"/>
  <c r="X227" i="83"/>
  <c r="X101" i="71" s="1"/>
  <c r="X206" i="71" s="1"/>
  <c r="S227" i="83"/>
  <c r="S101" i="71" s="1"/>
  <c r="S206" i="71" s="1"/>
  <c r="O227" i="83"/>
  <c r="O101" i="71" s="1"/>
  <c r="O206" i="71" s="1"/>
  <c r="W198" i="83"/>
  <c r="W71" i="71" s="1"/>
  <c r="W176" i="71" s="1"/>
  <c r="V198" i="83"/>
  <c r="V71" i="71" s="1"/>
  <c r="V176" i="71" s="1"/>
  <c r="Y198" i="83"/>
  <c r="Y71" i="71" s="1"/>
  <c r="Y176" i="71" s="1"/>
  <c r="J198" i="83"/>
  <c r="J71" i="71" s="1"/>
  <c r="J176" i="71" s="1"/>
  <c r="W169" i="83"/>
  <c r="W41" i="71" s="1"/>
  <c r="W146" i="71" s="1"/>
  <c r="V169" i="83"/>
  <c r="V41" i="71" s="1"/>
  <c r="V146" i="71" s="1"/>
  <c r="U169" i="83"/>
  <c r="U41" i="71" s="1"/>
  <c r="U146" i="71" s="1"/>
  <c r="P169" i="83"/>
  <c r="P41" i="71" s="1"/>
  <c r="P146" i="71" s="1"/>
  <c r="X140" i="83"/>
  <c r="W140" i="83"/>
  <c r="V140" i="83"/>
  <c r="U140" i="83"/>
  <c r="W227" i="83"/>
  <c r="W101" i="71" s="1"/>
  <c r="W206" i="71" s="1"/>
  <c r="K227" i="83"/>
  <c r="K101" i="71" s="1"/>
  <c r="K206" i="71" s="1"/>
  <c r="R198" i="83"/>
  <c r="R71" i="71" s="1"/>
  <c r="R176" i="71" s="1"/>
  <c r="T198" i="83"/>
  <c r="T71" i="71" s="1"/>
  <c r="T176" i="71" s="1"/>
  <c r="R169" i="83"/>
  <c r="R41" i="71" s="1"/>
  <c r="R146" i="71" s="1"/>
  <c r="J169" i="83"/>
  <c r="J41" i="71" s="1"/>
  <c r="J146" i="71" s="1"/>
  <c r="S140" i="83"/>
  <c r="Y140" i="83"/>
  <c r="U227" i="83"/>
  <c r="U101" i="71" s="1"/>
  <c r="U206" i="71" s="1"/>
  <c r="J227" i="83"/>
  <c r="J101" i="71" s="1"/>
  <c r="J206" i="71" s="1"/>
  <c r="N198" i="83"/>
  <c r="N71" i="71" s="1"/>
  <c r="N176" i="71" s="1"/>
  <c r="P198" i="83"/>
  <c r="P71" i="71" s="1"/>
  <c r="P176" i="71" s="1"/>
  <c r="N169" i="83"/>
  <c r="N41" i="71" s="1"/>
  <c r="N146" i="71" s="1"/>
  <c r="Y169" i="83"/>
  <c r="Y41" i="71" s="1"/>
  <c r="Y146" i="71" s="1"/>
  <c r="O140" i="83"/>
  <c r="O142" i="72" s="1"/>
  <c r="O212" i="72" s="1"/>
  <c r="O242" i="72" s="1"/>
  <c r="K140" i="83"/>
  <c r="K142" i="72" s="1"/>
  <c r="K212" i="72" s="1"/>
  <c r="K242" i="72" s="1"/>
  <c r="R227" i="83"/>
  <c r="R101" i="71" s="1"/>
  <c r="R206" i="71" s="1"/>
  <c r="P227" i="83"/>
  <c r="P101" i="71" s="1"/>
  <c r="P206" i="71" s="1"/>
  <c r="S198" i="83"/>
  <c r="S71" i="71" s="1"/>
  <c r="S176" i="71" s="1"/>
  <c r="U198" i="83"/>
  <c r="U71" i="71" s="1"/>
  <c r="U176" i="71" s="1"/>
  <c r="S169" i="83"/>
  <c r="S41" i="71" s="1"/>
  <c r="S146" i="71" s="1"/>
  <c r="Q169" i="83"/>
  <c r="Q41" i="71" s="1"/>
  <c r="Q146" i="71" s="1"/>
  <c r="T140" i="83"/>
  <c r="R140" i="83"/>
  <c r="O198" i="83"/>
  <c r="O71" i="71" s="1"/>
  <c r="O176" i="71" s="1"/>
  <c r="P140" i="83"/>
  <c r="P142" i="72" s="1"/>
  <c r="P212" i="72" s="1"/>
  <c r="P242" i="72" s="1"/>
  <c r="Q198" i="83"/>
  <c r="Q71" i="71" s="1"/>
  <c r="Q176" i="71" s="1"/>
  <c r="N140" i="83"/>
  <c r="N142" i="72" s="1"/>
  <c r="N212" i="72" s="1"/>
  <c r="N242" i="72" s="1"/>
  <c r="N227" i="83"/>
  <c r="N101" i="71" s="1"/>
  <c r="N206" i="71" s="1"/>
  <c r="O169" i="83"/>
  <c r="O41" i="71" s="1"/>
  <c r="O146" i="71" s="1"/>
  <c r="K169" i="83"/>
  <c r="K41" i="71" s="1"/>
  <c r="K146" i="71" s="1"/>
  <c r="M227" i="83"/>
  <c r="M101" i="71" s="1"/>
  <c r="M206" i="71" s="1"/>
  <c r="N155" i="73"/>
  <c r="L185" i="73"/>
  <c r="L245" i="73" s="1"/>
  <c r="L155" i="73"/>
  <c r="J155" i="73"/>
  <c r="Q155" i="73"/>
  <c r="O185" i="73"/>
  <c r="O245" i="73" s="1"/>
  <c r="K185" i="73"/>
  <c r="K245" i="73" s="1"/>
  <c r="K155" i="73"/>
  <c r="M185" i="73"/>
  <c r="M245" i="73" s="1"/>
  <c r="O155" i="73"/>
  <c r="Q185" i="73"/>
  <c r="Q245" i="73" s="1"/>
  <c r="N185" i="73"/>
  <c r="N245" i="73" s="1"/>
  <c r="J185" i="73"/>
  <c r="J245" i="73" s="1"/>
  <c r="M155" i="73"/>
  <c r="P155" i="73"/>
  <c r="P185" i="73"/>
  <c r="P245" i="73" s="1"/>
  <c r="J154" i="73"/>
  <c r="L184" i="73"/>
  <c r="L244" i="73" s="1"/>
  <c r="P184" i="73"/>
  <c r="P244" i="73" s="1"/>
  <c r="K154" i="73"/>
  <c r="K184" i="73"/>
  <c r="K244" i="73" s="1"/>
  <c r="P154" i="73"/>
  <c r="O154" i="73"/>
  <c r="M154" i="73"/>
  <c r="N154" i="73"/>
  <c r="L154" i="73"/>
  <c r="M184" i="73"/>
  <c r="M244" i="73" s="1"/>
  <c r="O184" i="73"/>
  <c r="O244" i="73" s="1"/>
  <c r="Q154" i="73"/>
  <c r="Q184" i="73"/>
  <c r="Q244" i="73" s="1"/>
  <c r="N184" i="73"/>
  <c r="N244" i="73" s="1"/>
  <c r="J184" i="73"/>
  <c r="J244" i="73" s="1"/>
  <c r="Q183" i="73"/>
  <c r="Q243" i="73" s="1"/>
  <c r="J153" i="73"/>
  <c r="L183" i="73"/>
  <c r="L243" i="73" s="1"/>
  <c r="M153" i="73"/>
  <c r="Q153" i="73"/>
  <c r="K153" i="73"/>
  <c r="J183" i="73"/>
  <c r="J243" i="73" s="1"/>
  <c r="K183" i="73"/>
  <c r="K243" i="73" s="1"/>
  <c r="O183" i="73"/>
  <c r="O243" i="73" s="1"/>
  <c r="P183" i="73"/>
  <c r="P243" i="73" s="1"/>
  <c r="O153" i="73"/>
  <c r="M183" i="73"/>
  <c r="M243" i="73" s="1"/>
  <c r="P153" i="73"/>
  <c r="N153" i="73"/>
  <c r="L153" i="73"/>
  <c r="N183" i="73"/>
  <c r="N243" i="73" s="1"/>
  <c r="S97" i="105"/>
  <c r="S101" i="105" s="1"/>
  <c r="H237" i="83" l="1" a="1"/>
  <c r="H237" i="83" s="1"/>
  <c r="L75" i="71"/>
  <c r="L180" i="71" s="1"/>
  <c r="L250" i="72"/>
  <c r="R218" i="71"/>
  <c r="K257" i="73"/>
  <c r="Y250" i="72"/>
  <c r="M36" i="71"/>
  <c r="M141" i="71" s="1"/>
  <c r="M217" i="71" s="1"/>
  <c r="M239" i="83"/>
  <c r="O276" i="73"/>
  <c r="O39" i="74" s="1"/>
  <c r="O84" i="74" s="1"/>
  <c r="O206" i="73"/>
  <c r="L276" i="73"/>
  <c r="L39" i="74" s="1"/>
  <c r="L84" i="74" s="1"/>
  <c r="L206" i="73"/>
  <c r="J257" i="73"/>
  <c r="N207" i="73"/>
  <c r="N277" i="73"/>
  <c r="N40" i="74" s="1"/>
  <c r="N85" i="74" s="1"/>
  <c r="Q207" i="73"/>
  <c r="Q277" i="73"/>
  <c r="Q40" i="74" s="1"/>
  <c r="Q85" i="74" s="1"/>
  <c r="M279" i="73"/>
  <c r="M42" i="74" s="1"/>
  <c r="M87" i="74" s="1"/>
  <c r="M209" i="73"/>
  <c r="J279" i="73"/>
  <c r="J42" i="74" s="1"/>
  <c r="J87" i="74" s="1"/>
  <c r="J209" i="73"/>
  <c r="N210" i="73"/>
  <c r="N280" i="73"/>
  <c r="N43" i="74" s="1"/>
  <c r="N88" i="74" s="1"/>
  <c r="J280" i="73"/>
  <c r="J43" i="74" s="1"/>
  <c r="J88" i="74" s="1"/>
  <c r="J210" i="73"/>
  <c r="P213" i="73"/>
  <c r="P283" i="73"/>
  <c r="P46" i="74" s="1"/>
  <c r="P91" i="74" s="1"/>
  <c r="Q283" i="73"/>
  <c r="Q46" i="74" s="1"/>
  <c r="Q91" i="74" s="1"/>
  <c r="Q213" i="73"/>
  <c r="Q214" i="73"/>
  <c r="Q284" i="73"/>
  <c r="Q47" i="74" s="1"/>
  <c r="Q92" i="74" s="1"/>
  <c r="N214" i="73"/>
  <c r="N284" i="73"/>
  <c r="N47" i="74" s="1"/>
  <c r="N92" i="74" s="1"/>
  <c r="J284" i="73"/>
  <c r="J47" i="74" s="1"/>
  <c r="J92" i="74" s="1"/>
  <c r="J214" i="73"/>
  <c r="Q285" i="73"/>
  <c r="Q48" i="74" s="1"/>
  <c r="Q93" i="74" s="1"/>
  <c r="Q215" i="73"/>
  <c r="N285" i="73"/>
  <c r="N48" i="74" s="1"/>
  <c r="N93" i="74" s="1"/>
  <c r="N215" i="73"/>
  <c r="W250" i="72"/>
  <c r="O212" i="73"/>
  <c r="O282" i="73"/>
  <c r="O45" i="74" s="1"/>
  <c r="O90" i="74" s="1"/>
  <c r="Q282" i="73"/>
  <c r="Q45" i="74" s="1"/>
  <c r="Q90" i="74" s="1"/>
  <c r="Q212" i="73"/>
  <c r="J276" i="73"/>
  <c r="J39" i="74" s="1"/>
  <c r="J84" i="74" s="1"/>
  <c r="J206" i="73"/>
  <c r="O257" i="73"/>
  <c r="K207" i="73"/>
  <c r="K277" i="73"/>
  <c r="K40" i="74" s="1"/>
  <c r="K85" i="74" s="1"/>
  <c r="L207" i="73"/>
  <c r="L277" i="73"/>
  <c r="L40" i="74" s="1"/>
  <c r="L85" i="74" s="1"/>
  <c r="M207" i="73"/>
  <c r="M277" i="73"/>
  <c r="M40" i="74" s="1"/>
  <c r="M85" i="74" s="1"/>
  <c r="Q280" i="73"/>
  <c r="Q43" i="74" s="1"/>
  <c r="Q88" i="74" s="1"/>
  <c r="Q210" i="73"/>
  <c r="L66" i="71"/>
  <c r="L171" i="71" s="1"/>
  <c r="P36" i="71"/>
  <c r="P141" i="71" s="1"/>
  <c r="P217" i="71" s="1"/>
  <c r="P239" i="83"/>
  <c r="Q219" i="71"/>
  <c r="Y219" i="71"/>
  <c r="Y218" i="71"/>
  <c r="S218" i="71"/>
  <c r="O211" i="73"/>
  <c r="O281" i="73"/>
  <c r="O44" i="74" s="1"/>
  <c r="O89" i="74" s="1"/>
  <c r="L283" i="73"/>
  <c r="L46" i="74" s="1"/>
  <c r="L91" i="74" s="1"/>
  <c r="L213" i="73"/>
  <c r="O283" i="73"/>
  <c r="O46" i="74" s="1"/>
  <c r="O91" i="74" s="1"/>
  <c r="O213" i="73"/>
  <c r="O284" i="73"/>
  <c r="O47" i="74" s="1"/>
  <c r="O92" i="74" s="1"/>
  <c r="O214" i="73"/>
  <c r="P285" i="73"/>
  <c r="P48" i="74" s="1"/>
  <c r="P93" i="74" s="1"/>
  <c r="P215" i="73"/>
  <c r="L215" i="73"/>
  <c r="L285" i="73"/>
  <c r="L48" i="74" s="1"/>
  <c r="L93" i="74" s="1"/>
  <c r="T250" i="72"/>
  <c r="X250" i="72"/>
  <c r="M212" i="73"/>
  <c r="M282" i="73"/>
  <c r="M45" i="74" s="1"/>
  <c r="M90" i="74" s="1"/>
  <c r="J212" i="73"/>
  <c r="J282" i="73"/>
  <c r="J45" i="74" s="1"/>
  <c r="J90" i="74" s="1"/>
  <c r="L257" i="73"/>
  <c r="Q257" i="73"/>
  <c r="M257" i="73"/>
  <c r="Q276" i="73"/>
  <c r="Q39" i="74" s="1"/>
  <c r="Q84" i="74" s="1"/>
  <c r="Q206" i="73"/>
  <c r="Q279" i="73"/>
  <c r="Q42" i="74" s="1"/>
  <c r="Q87" i="74" s="1"/>
  <c r="Q209" i="73"/>
  <c r="O279" i="73"/>
  <c r="O42" i="74" s="1"/>
  <c r="O87" i="74" s="1"/>
  <c r="O209" i="73"/>
  <c r="L209" i="73"/>
  <c r="L279" i="73"/>
  <c r="L42" i="74" s="1"/>
  <c r="L87" i="74" s="1"/>
  <c r="P280" i="73"/>
  <c r="P43" i="74" s="1"/>
  <c r="P88" i="74" s="1"/>
  <c r="P210" i="73"/>
  <c r="K280" i="73"/>
  <c r="K43" i="74" s="1"/>
  <c r="K88" i="74" s="1"/>
  <c r="K210" i="73"/>
  <c r="M210" i="73"/>
  <c r="M280" i="73"/>
  <c r="M43" i="74" s="1"/>
  <c r="M88" i="74" s="1"/>
  <c r="N219" i="71"/>
  <c r="W219" i="71"/>
  <c r="X218" i="71"/>
  <c r="L239" i="83"/>
  <c r="L36" i="71"/>
  <c r="L141" i="71" s="1"/>
  <c r="L217" i="71" s="1"/>
  <c r="N218" i="71"/>
  <c r="V219" i="71"/>
  <c r="N36" i="71"/>
  <c r="N141" i="71" s="1"/>
  <c r="N217" i="71" s="1"/>
  <c r="N239" i="83"/>
  <c r="V218" i="71"/>
  <c r="M96" i="71"/>
  <c r="M201" i="71" s="1"/>
  <c r="M219" i="71" s="1"/>
  <c r="V239" i="83"/>
  <c r="V36" i="71"/>
  <c r="V141" i="71" s="1"/>
  <c r="V217" i="71" s="1"/>
  <c r="M66" i="71"/>
  <c r="M171" i="71" s="1"/>
  <c r="M218" i="71" s="1"/>
  <c r="O219" i="71"/>
  <c r="U36" i="71"/>
  <c r="U141" i="71" s="1"/>
  <c r="U217" i="71" s="1"/>
  <c r="U239" i="83"/>
  <c r="T218" i="71"/>
  <c r="S219" i="71"/>
  <c r="J281" i="73"/>
  <c r="J44" i="74" s="1"/>
  <c r="J89" i="74" s="1"/>
  <c r="J211" i="73"/>
  <c r="K211" i="73"/>
  <c r="K281" i="73"/>
  <c r="K44" i="74" s="1"/>
  <c r="K89" i="74" s="1"/>
  <c r="Q211" i="73"/>
  <c r="Q281" i="73"/>
  <c r="Q44" i="74" s="1"/>
  <c r="Q89" i="74" s="1"/>
  <c r="J208" i="73"/>
  <c r="J278" i="73"/>
  <c r="J41" i="74" s="1"/>
  <c r="J86" i="74" s="1"/>
  <c r="Q208" i="73"/>
  <c r="Q278" i="73"/>
  <c r="Q41" i="74" s="1"/>
  <c r="Q86" i="74" s="1"/>
  <c r="O278" i="73"/>
  <c r="O41" i="74" s="1"/>
  <c r="O86" i="74" s="1"/>
  <c r="O208" i="73"/>
  <c r="N250" i="72"/>
  <c r="X36" i="71"/>
  <c r="X141" i="71" s="1"/>
  <c r="X217" i="71" s="1"/>
  <c r="X239" i="83"/>
  <c r="J96" i="71"/>
  <c r="J201" i="71" s="1"/>
  <c r="J219" i="71" s="1"/>
  <c r="K36" i="71"/>
  <c r="K141" i="71" s="1"/>
  <c r="K217" i="71" s="1"/>
  <c r="K239" i="83"/>
  <c r="X219" i="71"/>
  <c r="M250" i="72"/>
  <c r="Q239" i="83"/>
  <c r="Q36" i="71"/>
  <c r="Q141" i="71" s="1"/>
  <c r="Q217" i="71" s="1"/>
  <c r="T219" i="71"/>
  <c r="S36" i="71"/>
  <c r="S141" i="71" s="1"/>
  <c r="S217" i="71" s="1"/>
  <c r="S239" i="83"/>
  <c r="U219" i="71"/>
  <c r="M211" i="73"/>
  <c r="M281" i="73"/>
  <c r="M44" i="74" s="1"/>
  <c r="M89" i="74" s="1"/>
  <c r="K208" i="73"/>
  <c r="K278" i="73"/>
  <c r="K41" i="74" s="1"/>
  <c r="K86" i="74" s="1"/>
  <c r="N208" i="73"/>
  <c r="N278" i="73"/>
  <c r="N41" i="74" s="1"/>
  <c r="N86" i="74" s="1"/>
  <c r="M283" i="73"/>
  <c r="M46" i="74" s="1"/>
  <c r="M91" i="74" s="1"/>
  <c r="M213" i="73"/>
  <c r="M284" i="73"/>
  <c r="M47" i="74" s="1"/>
  <c r="M92" i="74" s="1"/>
  <c r="M214" i="73"/>
  <c r="K284" i="73"/>
  <c r="K47" i="74" s="1"/>
  <c r="K92" i="74" s="1"/>
  <c r="K214" i="73"/>
  <c r="K285" i="73"/>
  <c r="K48" i="74" s="1"/>
  <c r="K93" i="74" s="1"/>
  <c r="K215" i="73"/>
  <c r="J285" i="73"/>
  <c r="J48" i="74" s="1"/>
  <c r="J93" i="74" s="1"/>
  <c r="J215" i="73"/>
  <c r="S250" i="72"/>
  <c r="U250" i="72"/>
  <c r="N282" i="73"/>
  <c r="N45" i="74" s="1"/>
  <c r="N90" i="74" s="1"/>
  <c r="N212" i="73"/>
  <c r="M276" i="73"/>
  <c r="M39" i="74" s="1"/>
  <c r="M84" i="74" s="1"/>
  <c r="M206" i="73"/>
  <c r="P257" i="73"/>
  <c r="P277" i="73"/>
  <c r="P40" i="74" s="1"/>
  <c r="P85" i="74" s="1"/>
  <c r="P207" i="73"/>
  <c r="P209" i="73"/>
  <c r="P279" i="73"/>
  <c r="P42" i="74" s="1"/>
  <c r="P87" i="74" s="1"/>
  <c r="O218" i="71"/>
  <c r="U218" i="71"/>
  <c r="J250" i="72"/>
  <c r="K66" i="71"/>
  <c r="K171" i="71" s="1"/>
  <c r="K218" i="71" s="1"/>
  <c r="P250" i="72"/>
  <c r="L96" i="71"/>
  <c r="L201" i="71" s="1"/>
  <c r="L219" i="71" s="1"/>
  <c r="T36" i="71"/>
  <c r="T141" i="71" s="1"/>
  <c r="T217" i="71" s="1"/>
  <c r="T239" i="83"/>
  <c r="R219" i="71"/>
  <c r="L211" i="73"/>
  <c r="L281" i="73"/>
  <c r="L44" i="74" s="1"/>
  <c r="L89" i="74" s="1"/>
  <c r="P208" i="73"/>
  <c r="P278" i="73"/>
  <c r="P41" i="74" s="1"/>
  <c r="P86" i="74" s="1"/>
  <c r="N283" i="73"/>
  <c r="N46" i="74" s="1"/>
  <c r="N91" i="74" s="1"/>
  <c r="N213" i="73"/>
  <c r="K213" i="73"/>
  <c r="K283" i="73"/>
  <c r="K46" i="74" s="1"/>
  <c r="K91" i="74" s="1"/>
  <c r="J283" i="73"/>
  <c r="J46" i="74" s="1"/>
  <c r="J91" i="74" s="1"/>
  <c r="J213" i="73"/>
  <c r="L284" i="73"/>
  <c r="L47" i="74" s="1"/>
  <c r="L92" i="74" s="1"/>
  <c r="L214" i="73"/>
  <c r="P214" i="73"/>
  <c r="P284" i="73"/>
  <c r="P47" i="74" s="1"/>
  <c r="P92" i="74" s="1"/>
  <c r="M215" i="73"/>
  <c r="M285" i="73"/>
  <c r="M48" i="74" s="1"/>
  <c r="M93" i="74" s="1"/>
  <c r="O285" i="73"/>
  <c r="O48" i="74" s="1"/>
  <c r="O93" i="74" s="1"/>
  <c r="O215" i="73"/>
  <c r="R250" i="72"/>
  <c r="V250" i="72"/>
  <c r="P282" i="73"/>
  <c r="P45" i="74" s="1"/>
  <c r="P90" i="74" s="1"/>
  <c r="P212" i="73"/>
  <c r="L282" i="73"/>
  <c r="L45" i="74" s="1"/>
  <c r="L90" i="74" s="1"/>
  <c r="L212" i="73"/>
  <c r="K282" i="73"/>
  <c r="K45" i="74" s="1"/>
  <c r="K90" i="74" s="1"/>
  <c r="K212" i="73"/>
  <c r="N206" i="73"/>
  <c r="N276" i="73"/>
  <c r="N39" i="74" s="1"/>
  <c r="N84" i="74" s="1"/>
  <c r="N257" i="73"/>
  <c r="P276" i="73"/>
  <c r="P39" i="74" s="1"/>
  <c r="P84" i="74" s="1"/>
  <c r="P206" i="73"/>
  <c r="K276" i="73"/>
  <c r="K39" i="74" s="1"/>
  <c r="K84" i="74" s="1"/>
  <c r="K206" i="73"/>
  <c r="J277" i="73"/>
  <c r="J40" i="74" s="1"/>
  <c r="J85" i="74" s="1"/>
  <c r="J207" i="73"/>
  <c r="O207" i="73"/>
  <c r="O277" i="73"/>
  <c r="O40" i="74" s="1"/>
  <c r="O85" i="74" s="1"/>
  <c r="N279" i="73"/>
  <c r="N42" i="74" s="1"/>
  <c r="N87" i="74" s="1"/>
  <c r="N209" i="73"/>
  <c r="K209" i="73"/>
  <c r="K279" i="73"/>
  <c r="K42" i="74" s="1"/>
  <c r="K87" i="74" s="1"/>
  <c r="L210" i="73"/>
  <c r="L280" i="73"/>
  <c r="L43" i="74" s="1"/>
  <c r="L88" i="74" s="1"/>
  <c r="O280" i="73"/>
  <c r="O43" i="74" s="1"/>
  <c r="O88" i="74" s="1"/>
  <c r="O210" i="73"/>
  <c r="K96" i="71"/>
  <c r="K201" i="71" s="1"/>
  <c r="K219" i="71" s="1"/>
  <c r="Y36" i="71"/>
  <c r="Y141" i="71" s="1"/>
  <c r="Y217" i="71" s="1"/>
  <c r="Y239" i="83"/>
  <c r="O250" i="72"/>
  <c r="K250" i="72"/>
  <c r="O36" i="71"/>
  <c r="O141" i="71" s="1"/>
  <c r="O217" i="71" s="1"/>
  <c r="O239" i="83"/>
  <c r="W218" i="71"/>
  <c r="Q250" i="72"/>
  <c r="W239" i="83"/>
  <c r="W36" i="71"/>
  <c r="W141" i="71" s="1"/>
  <c r="W217" i="71" s="1"/>
  <c r="J66" i="71"/>
  <c r="J171" i="71" s="1"/>
  <c r="J218" i="71" s="1"/>
  <c r="J36" i="71"/>
  <c r="J239" i="83"/>
  <c r="P218" i="71"/>
  <c r="R36" i="71"/>
  <c r="R141" i="71" s="1"/>
  <c r="R217" i="71" s="1"/>
  <c r="R239" i="83"/>
  <c r="Q218" i="71"/>
  <c r="P219" i="71"/>
  <c r="P281" i="73"/>
  <c r="P44" i="74" s="1"/>
  <c r="P89" i="74" s="1"/>
  <c r="P211" i="73"/>
  <c r="N281" i="73"/>
  <c r="N44" i="74" s="1"/>
  <c r="N89" i="74" s="1"/>
  <c r="N211" i="73"/>
  <c r="L208" i="73"/>
  <c r="L278" i="73"/>
  <c r="L41" i="74" s="1"/>
  <c r="L86" i="74" s="1"/>
  <c r="M208" i="73"/>
  <c r="M278" i="73"/>
  <c r="M41" i="74" s="1"/>
  <c r="M86" i="74" s="1"/>
  <c r="L218" i="71" l="1"/>
  <c r="L21" i="41" s="1"/>
  <c r="L21" i="65" s="1"/>
  <c r="Q25" i="41"/>
  <c r="S21" i="41"/>
  <c r="O25" i="41"/>
  <c r="M20" i="41"/>
  <c r="M74" i="41" s="1"/>
  <c r="M102" i="41" s="1"/>
  <c r="R21" i="41"/>
  <c r="P22" i="41"/>
  <c r="P53" i="41" s="1"/>
  <c r="P21" i="41"/>
  <c r="Q26" i="41"/>
  <c r="K26" i="41"/>
  <c r="R26" i="41"/>
  <c r="R26" i="65" s="1"/>
  <c r="R96" i="65" s="1"/>
  <c r="P26" i="41"/>
  <c r="U21" i="41"/>
  <c r="U75" i="41" s="1"/>
  <c r="AK102" i="41" s="1"/>
  <c r="S26" i="41"/>
  <c r="Q20" i="41"/>
  <c r="Q20" i="65" s="1"/>
  <c r="J22" i="41"/>
  <c r="S22" i="41"/>
  <c r="O22" i="41"/>
  <c r="L20" i="41"/>
  <c r="L51" i="41" s="1"/>
  <c r="W22" i="41"/>
  <c r="X26" i="41"/>
  <c r="X57" i="41" s="1"/>
  <c r="Y22" i="41"/>
  <c r="Y26" i="41"/>
  <c r="Q21" i="41"/>
  <c r="Q21" i="65" s="1"/>
  <c r="J21" i="41"/>
  <c r="W21" i="41"/>
  <c r="W21" i="65" s="1"/>
  <c r="W91" i="65" s="1"/>
  <c r="W102" i="65" s="1"/>
  <c r="O26" i="41"/>
  <c r="K22" i="41"/>
  <c r="K53" i="41" s="1"/>
  <c r="T20" i="41"/>
  <c r="K21" i="41"/>
  <c r="K52" i="41" s="1"/>
  <c r="O21" i="41"/>
  <c r="U22" i="41"/>
  <c r="U22" i="65" s="1"/>
  <c r="U92" i="65" s="1"/>
  <c r="U103" i="65" s="1"/>
  <c r="T21" i="41"/>
  <c r="N20" i="41"/>
  <c r="N51" i="41" s="1"/>
  <c r="N22" i="41"/>
  <c r="M25" i="41"/>
  <c r="M25" i="65" s="1"/>
  <c r="M95" i="65" s="1"/>
  <c r="T26" i="41"/>
  <c r="Q22" i="41"/>
  <c r="Q22" i="65" s="1"/>
  <c r="W26" i="41"/>
  <c r="K25" i="41"/>
  <c r="W20" i="41"/>
  <c r="N25" i="41"/>
  <c r="N56" i="41" s="1"/>
  <c r="P25" i="41"/>
  <c r="S20" i="41"/>
  <c r="M26" i="41"/>
  <c r="M26" i="65" s="1"/>
  <c r="M96" i="65" s="1"/>
  <c r="K20" i="41"/>
  <c r="K74" i="41" s="1"/>
  <c r="K102" i="41" s="1"/>
  <c r="X20" i="41"/>
  <c r="M21" i="41"/>
  <c r="M21" i="65" s="1"/>
  <c r="M22" i="41"/>
  <c r="V22" i="41"/>
  <c r="R20" i="41"/>
  <c r="O20" i="41"/>
  <c r="O20" i="65" s="1"/>
  <c r="Y20" i="41"/>
  <c r="V26" i="41"/>
  <c r="R22" i="41"/>
  <c r="L22" i="41"/>
  <c r="L76" i="41" s="1"/>
  <c r="AR102" i="41" s="1"/>
  <c r="J26" i="41"/>
  <c r="U26" i="41"/>
  <c r="U26" i="65" s="1"/>
  <c r="U96" i="65" s="1"/>
  <c r="U107" i="65" s="1"/>
  <c r="T22" i="41"/>
  <c r="X22" i="41"/>
  <c r="X76" i="41" s="1"/>
  <c r="BD102" i="41" s="1"/>
  <c r="N26" i="41"/>
  <c r="U20" i="41"/>
  <c r="U20" i="65" s="1"/>
  <c r="U90" i="65" s="1"/>
  <c r="U101" i="65" s="1"/>
  <c r="V20" i="41"/>
  <c r="V21" i="41"/>
  <c r="N21" i="41"/>
  <c r="X21" i="41"/>
  <c r="X75" i="41" s="1"/>
  <c r="AN102" i="41" s="1"/>
  <c r="L25" i="41"/>
  <c r="Y21" i="41"/>
  <c r="P20" i="41"/>
  <c r="J25" i="41"/>
  <c r="J25" i="65" s="1"/>
  <c r="J95" i="65" s="1"/>
  <c r="L26" i="41"/>
  <c r="M256" i="73"/>
  <c r="H254" i="72" a="1"/>
  <c r="H254" i="72" s="1"/>
  <c r="A4" i="72" s="1"/>
  <c r="J141" i="71"/>
  <c r="J217" i="71" s="1"/>
  <c r="S114" i="74"/>
  <c r="S146" i="74" s="1"/>
  <c r="Y114" i="74"/>
  <c r="Y146" i="74" s="1"/>
  <c r="T114" i="74"/>
  <c r="T146" i="74" s="1"/>
  <c r="P114" i="74"/>
  <c r="P146" i="74" s="1"/>
  <c r="W114" i="74"/>
  <c r="W146" i="74" s="1"/>
  <c r="M114" i="74"/>
  <c r="M146" i="74" s="1"/>
  <c r="K114" i="74"/>
  <c r="K146" i="74" s="1"/>
  <c r="R114" i="74"/>
  <c r="R146" i="74" s="1"/>
  <c r="X114" i="74"/>
  <c r="X146" i="74" s="1"/>
  <c r="Q114" i="74"/>
  <c r="Q146" i="74" s="1"/>
  <c r="N114" i="74"/>
  <c r="N146" i="74" s="1"/>
  <c r="O114" i="74"/>
  <c r="O146" i="74" s="1"/>
  <c r="U114" i="74"/>
  <c r="U146" i="74" s="1"/>
  <c r="V114" i="74"/>
  <c r="V146" i="74" s="1"/>
  <c r="U121" i="74"/>
  <c r="U153" i="74" s="1"/>
  <c r="S121" i="74"/>
  <c r="S153" i="74" s="1"/>
  <c r="O121" i="74"/>
  <c r="O153" i="74" s="1"/>
  <c r="P121" i="74"/>
  <c r="P153" i="74" s="1"/>
  <c r="Q121" i="74"/>
  <c r="Q153" i="74" s="1"/>
  <c r="N121" i="74"/>
  <c r="N153" i="74" s="1"/>
  <c r="Y121" i="74"/>
  <c r="Y153" i="74" s="1"/>
  <c r="T121" i="74"/>
  <c r="T153" i="74" s="1"/>
  <c r="R121" i="74"/>
  <c r="R153" i="74" s="1"/>
  <c r="V121" i="74"/>
  <c r="V153" i="74" s="1"/>
  <c r="X121" i="74"/>
  <c r="X153" i="74" s="1"/>
  <c r="W121" i="74"/>
  <c r="W153" i="74" s="1"/>
  <c r="M121" i="74"/>
  <c r="M153" i="74" s="1"/>
  <c r="K121" i="74"/>
  <c r="K153" i="74" s="1"/>
  <c r="H239" i="83"/>
  <c r="H241" i="83" s="1"/>
  <c r="J115" i="74"/>
  <c r="J147" i="74" s="1"/>
  <c r="L115" i="74"/>
  <c r="L147" i="74" s="1"/>
  <c r="U116" i="74"/>
  <c r="U148" i="74" s="1"/>
  <c r="W116" i="74"/>
  <c r="W148" i="74" s="1"/>
  <c r="T116" i="74"/>
  <c r="T148" i="74" s="1"/>
  <c r="X116" i="74"/>
  <c r="X148" i="74" s="1"/>
  <c r="O116" i="74"/>
  <c r="O148" i="74" s="1"/>
  <c r="P116" i="74"/>
  <c r="P148" i="74" s="1"/>
  <c r="N116" i="74"/>
  <c r="N148" i="74" s="1"/>
  <c r="Q116" i="74"/>
  <c r="Q148" i="74" s="1"/>
  <c r="R116" i="74"/>
  <c r="R148" i="74" s="1"/>
  <c r="S116" i="74"/>
  <c r="S148" i="74" s="1"/>
  <c r="K116" i="74"/>
  <c r="K148" i="74" s="1"/>
  <c r="V116" i="74"/>
  <c r="V148" i="74" s="1"/>
  <c r="Y116" i="74"/>
  <c r="Y148" i="74" s="1"/>
  <c r="M116" i="74"/>
  <c r="M148" i="74" s="1"/>
  <c r="J116" i="74"/>
  <c r="J148" i="74" s="1"/>
  <c r="L116" i="74"/>
  <c r="L148" i="74" s="1"/>
  <c r="U119" i="74"/>
  <c r="U151" i="74" s="1"/>
  <c r="Y119" i="74"/>
  <c r="Y151" i="74" s="1"/>
  <c r="Q119" i="74"/>
  <c r="Q151" i="74" s="1"/>
  <c r="K119" i="74"/>
  <c r="K151" i="74" s="1"/>
  <c r="N119" i="74"/>
  <c r="N151" i="74" s="1"/>
  <c r="S119" i="74"/>
  <c r="S151" i="74" s="1"/>
  <c r="R119" i="74"/>
  <c r="R151" i="74" s="1"/>
  <c r="T119" i="74"/>
  <c r="T151" i="74" s="1"/>
  <c r="W119" i="74"/>
  <c r="W151" i="74" s="1"/>
  <c r="O119" i="74"/>
  <c r="O151" i="74" s="1"/>
  <c r="P119" i="74"/>
  <c r="P151" i="74" s="1"/>
  <c r="M119" i="74"/>
  <c r="M151" i="74" s="1"/>
  <c r="X119" i="74"/>
  <c r="X151" i="74" s="1"/>
  <c r="V119" i="74"/>
  <c r="V151" i="74" s="1"/>
  <c r="J120" i="74"/>
  <c r="J152" i="74" s="1"/>
  <c r="L120" i="74"/>
  <c r="L152" i="74" s="1"/>
  <c r="Q115" i="74"/>
  <c r="Q147" i="74" s="1"/>
  <c r="U115" i="74"/>
  <c r="U147" i="74" s="1"/>
  <c r="X115" i="74"/>
  <c r="X147" i="74" s="1"/>
  <c r="N115" i="74"/>
  <c r="N147" i="74" s="1"/>
  <c r="T115" i="74"/>
  <c r="T147" i="74" s="1"/>
  <c r="S115" i="74"/>
  <c r="S147" i="74" s="1"/>
  <c r="Y115" i="74"/>
  <c r="Y147" i="74" s="1"/>
  <c r="R115" i="74"/>
  <c r="R147" i="74" s="1"/>
  <c r="P115" i="74"/>
  <c r="P147" i="74" s="1"/>
  <c r="K115" i="74"/>
  <c r="K147" i="74" s="1"/>
  <c r="W115" i="74"/>
  <c r="W147" i="74" s="1"/>
  <c r="O115" i="74"/>
  <c r="O147" i="74" s="1"/>
  <c r="M115" i="74"/>
  <c r="M147" i="74" s="1"/>
  <c r="V115" i="74"/>
  <c r="V147" i="74" s="1"/>
  <c r="L114" i="74"/>
  <c r="L146" i="74" s="1"/>
  <c r="J114" i="74"/>
  <c r="J146" i="74" s="1"/>
  <c r="L256" i="73"/>
  <c r="S118" i="74"/>
  <c r="S150" i="74" s="1"/>
  <c r="Q118" i="74"/>
  <c r="Q150" i="74" s="1"/>
  <c r="P118" i="74"/>
  <c r="P150" i="74" s="1"/>
  <c r="N118" i="74"/>
  <c r="N150" i="74" s="1"/>
  <c r="V118" i="74"/>
  <c r="V150" i="74" s="1"/>
  <c r="O118" i="74"/>
  <c r="O150" i="74" s="1"/>
  <c r="U118" i="74"/>
  <c r="U150" i="74" s="1"/>
  <c r="T118" i="74"/>
  <c r="T150" i="74" s="1"/>
  <c r="R118" i="74"/>
  <c r="R150" i="74" s="1"/>
  <c r="W118" i="74"/>
  <c r="W150" i="74" s="1"/>
  <c r="M118" i="74"/>
  <c r="M150" i="74" s="1"/>
  <c r="K118" i="74"/>
  <c r="K150" i="74" s="1"/>
  <c r="X118" i="74"/>
  <c r="X150" i="74" s="1"/>
  <c r="Y118" i="74"/>
  <c r="Y150" i="74" s="1"/>
  <c r="J122" i="74"/>
  <c r="J154" i="74" s="1"/>
  <c r="L122" i="74"/>
  <c r="L154" i="74" s="1"/>
  <c r="O256" i="73"/>
  <c r="P256" i="73"/>
  <c r="N256" i="73"/>
  <c r="T123" i="74"/>
  <c r="T155" i="74" s="1"/>
  <c r="Q123" i="74"/>
  <c r="Q155" i="74" s="1"/>
  <c r="O123" i="74"/>
  <c r="O155" i="74" s="1"/>
  <c r="N123" i="74"/>
  <c r="N155" i="74" s="1"/>
  <c r="P123" i="74"/>
  <c r="P155" i="74" s="1"/>
  <c r="X123" i="74"/>
  <c r="X155" i="74" s="1"/>
  <c r="V123" i="74"/>
  <c r="V155" i="74" s="1"/>
  <c r="K123" i="74"/>
  <c r="K155" i="74" s="1"/>
  <c r="U123" i="74"/>
  <c r="U155" i="74" s="1"/>
  <c r="R123" i="74"/>
  <c r="R155" i="74" s="1"/>
  <c r="M123" i="74"/>
  <c r="M155" i="74" s="1"/>
  <c r="W123" i="74"/>
  <c r="W155" i="74" s="1"/>
  <c r="S123" i="74"/>
  <c r="S155" i="74" s="1"/>
  <c r="Y123" i="74"/>
  <c r="Y155" i="74" s="1"/>
  <c r="L119" i="74"/>
  <c r="L151" i="74" s="1"/>
  <c r="J119" i="74"/>
  <c r="J151" i="74" s="1"/>
  <c r="Q256" i="73"/>
  <c r="J256" i="73"/>
  <c r="L118" i="74"/>
  <c r="L150" i="74" s="1"/>
  <c r="J118" i="74"/>
  <c r="J150" i="74" s="1"/>
  <c r="J117" i="74"/>
  <c r="J149" i="74" s="1"/>
  <c r="L117" i="74"/>
  <c r="L149" i="74" s="1"/>
  <c r="T117" i="74"/>
  <c r="T149" i="74" s="1"/>
  <c r="S117" i="74"/>
  <c r="S149" i="74" s="1"/>
  <c r="V117" i="74"/>
  <c r="V149" i="74" s="1"/>
  <c r="Q117" i="74"/>
  <c r="Q149" i="74" s="1"/>
  <c r="P117" i="74"/>
  <c r="P149" i="74" s="1"/>
  <c r="M117" i="74"/>
  <c r="M149" i="74" s="1"/>
  <c r="W117" i="74"/>
  <c r="W149" i="74" s="1"/>
  <c r="O117" i="74"/>
  <c r="O149" i="74" s="1"/>
  <c r="U117" i="74"/>
  <c r="U149" i="74" s="1"/>
  <c r="X117" i="74"/>
  <c r="X149" i="74" s="1"/>
  <c r="Y117" i="74"/>
  <c r="Y149" i="74" s="1"/>
  <c r="R117" i="74"/>
  <c r="R149" i="74" s="1"/>
  <c r="K117" i="74"/>
  <c r="K149" i="74" s="1"/>
  <c r="N117" i="74"/>
  <c r="N149" i="74" s="1"/>
  <c r="K256" i="73"/>
  <c r="U120" i="74"/>
  <c r="U152" i="74" s="1"/>
  <c r="P120" i="74"/>
  <c r="P152" i="74" s="1"/>
  <c r="O120" i="74"/>
  <c r="O152" i="74" s="1"/>
  <c r="K120" i="74"/>
  <c r="K152" i="74" s="1"/>
  <c r="R120" i="74"/>
  <c r="R152" i="74" s="1"/>
  <c r="W120" i="74"/>
  <c r="W152" i="74" s="1"/>
  <c r="N120" i="74"/>
  <c r="N152" i="74" s="1"/>
  <c r="X120" i="74"/>
  <c r="X152" i="74" s="1"/>
  <c r="Q120" i="74"/>
  <c r="Q152" i="74" s="1"/>
  <c r="Y120" i="74"/>
  <c r="Y152" i="74" s="1"/>
  <c r="M120" i="74"/>
  <c r="M152" i="74" s="1"/>
  <c r="T120" i="74"/>
  <c r="T152" i="74" s="1"/>
  <c r="V120" i="74"/>
  <c r="V152" i="74" s="1"/>
  <c r="S120" i="74"/>
  <c r="S152" i="74" s="1"/>
  <c r="J121" i="74"/>
  <c r="J153" i="74" s="1"/>
  <c r="L121" i="74"/>
  <c r="L153" i="74" s="1"/>
  <c r="J123" i="74"/>
  <c r="J155" i="74" s="1"/>
  <c r="L123" i="74"/>
  <c r="L155" i="74" s="1"/>
  <c r="P122" i="74"/>
  <c r="P154" i="74" s="1"/>
  <c r="Y122" i="74"/>
  <c r="Y154" i="74" s="1"/>
  <c r="X122" i="74"/>
  <c r="X154" i="74" s="1"/>
  <c r="K122" i="74"/>
  <c r="K154" i="74" s="1"/>
  <c r="T122" i="74"/>
  <c r="T154" i="74" s="1"/>
  <c r="Q122" i="74"/>
  <c r="Q154" i="74" s="1"/>
  <c r="U122" i="74"/>
  <c r="U154" i="74" s="1"/>
  <c r="N122" i="74"/>
  <c r="N154" i="74" s="1"/>
  <c r="R122" i="74"/>
  <c r="R154" i="74" s="1"/>
  <c r="S122" i="74"/>
  <c r="S154" i="74" s="1"/>
  <c r="M122" i="74"/>
  <c r="M154" i="74" s="1"/>
  <c r="V122" i="74"/>
  <c r="V154" i="74" s="1"/>
  <c r="O122" i="74"/>
  <c r="O154" i="74" s="1"/>
  <c r="W122" i="74"/>
  <c r="W154" i="74" s="1"/>
  <c r="P97" i="105"/>
  <c r="P101" i="105" s="1"/>
  <c r="O97" i="105"/>
  <c r="O101" i="105" s="1"/>
  <c r="J106" i="65" l="1"/>
  <c r="J135" i="65" s="1"/>
  <c r="J50" i="105" s="1"/>
  <c r="J89" i="105" s="1"/>
  <c r="J37" i="82"/>
  <c r="M107" i="65"/>
  <c r="M136" i="65" s="1"/>
  <c r="M51" i="105" s="1"/>
  <c r="M90" i="105" s="1"/>
  <c r="M38" i="82"/>
  <c r="M106" i="65"/>
  <c r="M135" i="65" s="1"/>
  <c r="M50" i="105" s="1"/>
  <c r="M89" i="105" s="1"/>
  <c r="M37" i="82"/>
  <c r="R107" i="65"/>
  <c r="R136" i="65" s="1"/>
  <c r="R51" i="105" s="1"/>
  <c r="R90" i="105" s="1"/>
  <c r="R38" i="82"/>
  <c r="M115" i="65"/>
  <c r="M144" i="65" s="1"/>
  <c r="M59" i="105" s="1"/>
  <c r="M124" i="65"/>
  <c r="M153" i="65" s="1"/>
  <c r="M68" i="105" s="1"/>
  <c r="U132" i="65"/>
  <c r="U47" i="105" s="1"/>
  <c r="U86" i="105" s="1"/>
  <c r="R116" i="65"/>
  <c r="R145" i="65" s="1"/>
  <c r="R60" i="105" s="1"/>
  <c r="R125" i="65"/>
  <c r="R154" i="65" s="1"/>
  <c r="R69" i="105" s="1"/>
  <c r="J124" i="65"/>
  <c r="J153" i="65" s="1"/>
  <c r="J68" i="105" s="1"/>
  <c r="J115" i="65"/>
  <c r="J144" i="65" s="1"/>
  <c r="J59" i="105" s="1"/>
  <c r="U130" i="65"/>
  <c r="U45" i="105" s="1"/>
  <c r="U84" i="105" s="1"/>
  <c r="U136" i="65"/>
  <c r="U51" i="105" s="1"/>
  <c r="U90" i="105" s="1"/>
  <c r="W131" i="65"/>
  <c r="W46" i="105" s="1"/>
  <c r="W85" i="105" s="1"/>
  <c r="M125" i="65"/>
  <c r="M154" i="65" s="1"/>
  <c r="M69" i="105" s="1"/>
  <c r="M116" i="65"/>
  <c r="M145" i="65" s="1"/>
  <c r="M60" i="105" s="1"/>
  <c r="Y161" i="74"/>
  <c r="R74" i="41"/>
  <c r="R102" i="41" s="1"/>
  <c r="K25" i="65"/>
  <c r="K95" i="65" s="1"/>
  <c r="T26" i="65"/>
  <c r="T96" i="65" s="1"/>
  <c r="S57" i="41"/>
  <c r="J75" i="41"/>
  <c r="Z102" i="41" s="1"/>
  <c r="P20" i="65"/>
  <c r="N57" i="41"/>
  <c r="T20" i="65"/>
  <c r="T90" i="65" s="1"/>
  <c r="T51" i="41"/>
  <c r="J52" i="41"/>
  <c r="T57" i="41"/>
  <c r="T52" i="41"/>
  <c r="W51" i="41"/>
  <c r="K26" i="65"/>
  <c r="K96" i="65" s="1"/>
  <c r="Y76" i="41"/>
  <c r="BE102" i="41" s="1"/>
  <c r="O76" i="41"/>
  <c r="AU102" i="41" s="1"/>
  <c r="W20" i="65"/>
  <c r="W90" i="65" s="1"/>
  <c r="W101" i="65" s="1"/>
  <c r="N75" i="41"/>
  <c r="AD102" i="41" s="1"/>
  <c r="N26" i="65"/>
  <c r="N96" i="65" s="1"/>
  <c r="Y22" i="65"/>
  <c r="Y92" i="65" s="1"/>
  <c r="Y103" i="65" s="1"/>
  <c r="X21" i="65"/>
  <c r="X91" i="65" s="1"/>
  <c r="V74" i="41"/>
  <c r="V102" i="41" s="1"/>
  <c r="U74" i="41"/>
  <c r="U102" i="41" s="1"/>
  <c r="P51" i="41"/>
  <c r="N21" i="65"/>
  <c r="M76" i="41"/>
  <c r="AS102" i="41" s="1"/>
  <c r="V76" i="41"/>
  <c r="BB102" i="41" s="1"/>
  <c r="P76" i="41"/>
  <c r="AV102" i="41" s="1"/>
  <c r="K51" i="41"/>
  <c r="N25" i="65"/>
  <c r="N95" i="65" s="1"/>
  <c r="V57" i="41"/>
  <c r="T75" i="41"/>
  <c r="AJ102" i="41" s="1"/>
  <c r="W74" i="41"/>
  <c r="W102" i="41" s="1"/>
  <c r="P74" i="41"/>
  <c r="P102" i="41" s="1"/>
  <c r="K57" i="41"/>
  <c r="Q25" i="65"/>
  <c r="Q95" i="65" s="1"/>
  <c r="O22" i="65"/>
  <c r="T74" i="41"/>
  <c r="T102" i="41" s="1"/>
  <c r="J26" i="65"/>
  <c r="J96" i="65" s="1"/>
  <c r="T21" i="65"/>
  <c r="T91" i="65" s="1"/>
  <c r="N52" i="41"/>
  <c r="S26" i="65"/>
  <c r="S96" i="65" s="1"/>
  <c r="Q56" i="41"/>
  <c r="Y53" i="41"/>
  <c r="O53" i="41"/>
  <c r="J21" i="65"/>
  <c r="M22" i="65"/>
  <c r="S75" i="41"/>
  <c r="AI102" i="41" s="1"/>
  <c r="Q51" i="41"/>
  <c r="K75" i="41"/>
  <c r="AA102" i="41" s="1"/>
  <c r="J53" i="41"/>
  <c r="R20" i="65"/>
  <c r="R90" i="65" s="1"/>
  <c r="L25" i="65"/>
  <c r="L95" i="65" s="1"/>
  <c r="P52" i="41"/>
  <c r="O21" i="65"/>
  <c r="N76" i="41"/>
  <c r="AT102" i="41" s="1"/>
  <c r="P57" i="41"/>
  <c r="V20" i="65"/>
  <c r="V90" i="65" s="1"/>
  <c r="T53" i="41"/>
  <c r="P21" i="65"/>
  <c r="O56" i="41"/>
  <c r="O75" i="41"/>
  <c r="AE102" i="41" s="1"/>
  <c r="X20" i="65"/>
  <c r="X90" i="65" s="1"/>
  <c r="R53" i="41"/>
  <c r="N22" i="65"/>
  <c r="P25" i="65"/>
  <c r="P95" i="65" s="1"/>
  <c r="T22" i="65"/>
  <c r="T92" i="65" s="1"/>
  <c r="W26" i="65"/>
  <c r="W96" i="65" s="1"/>
  <c r="W107" i="65" s="1"/>
  <c r="W76" i="41"/>
  <c r="BC102" i="41" s="1"/>
  <c r="Y20" i="65"/>
  <c r="Y90" i="65" s="1"/>
  <c r="Y101" i="65" s="1"/>
  <c r="Y52" i="41"/>
  <c r="M53" i="41"/>
  <c r="X51" i="41"/>
  <c r="M57" i="41"/>
  <c r="J57" i="41"/>
  <c r="Y51" i="41"/>
  <c r="M56" i="41"/>
  <c r="Y75" i="41"/>
  <c r="AO102" i="41" s="1"/>
  <c r="X53" i="41"/>
  <c r="W22" i="65"/>
  <c r="W92" i="65" s="1"/>
  <c r="W103" i="65" s="1"/>
  <c r="J76" i="41"/>
  <c r="AP102" i="41" s="1"/>
  <c r="K22" i="65"/>
  <c r="N53" i="41"/>
  <c r="P56" i="41"/>
  <c r="L56" i="41"/>
  <c r="V21" i="65"/>
  <c r="V91" i="65" s="1"/>
  <c r="T76" i="41"/>
  <c r="AZ102" i="41" s="1"/>
  <c r="U52" i="41"/>
  <c r="M51" i="41"/>
  <c r="J22" i="65"/>
  <c r="O26" i="65"/>
  <c r="O96" i="65" s="1"/>
  <c r="S51" i="41"/>
  <c r="U53" i="41"/>
  <c r="M75" i="41"/>
  <c r="AC102" i="41" s="1"/>
  <c r="S22" i="65"/>
  <c r="S92" i="65" s="1"/>
  <c r="X74" i="41"/>
  <c r="X102" i="41" s="1"/>
  <c r="L53" i="41"/>
  <c r="R76" i="41"/>
  <c r="AX102" i="41" s="1"/>
  <c r="V51" i="41"/>
  <c r="P26" i="65"/>
  <c r="P96" i="65" s="1"/>
  <c r="P75" i="41"/>
  <c r="AF102" i="41" s="1"/>
  <c r="O25" i="65"/>
  <c r="O95" i="65" s="1"/>
  <c r="W57" i="41"/>
  <c r="W53" i="41"/>
  <c r="O52" i="41"/>
  <c r="O57" i="41"/>
  <c r="R22" i="65"/>
  <c r="R92" i="65" s="1"/>
  <c r="Y21" i="65"/>
  <c r="Y91" i="65" s="1"/>
  <c r="Y102" i="65" s="1"/>
  <c r="V75" i="41"/>
  <c r="AL102" i="41" s="1"/>
  <c r="X22" i="65"/>
  <c r="X92" i="65" s="1"/>
  <c r="L22" i="65"/>
  <c r="O74" i="41"/>
  <c r="O102" i="41" s="1"/>
  <c r="M52" i="41"/>
  <c r="S74" i="41"/>
  <c r="S102" i="41" s="1"/>
  <c r="U76" i="41"/>
  <c r="BA102" i="41" s="1"/>
  <c r="K76" i="41"/>
  <c r="AQ102" i="41" s="1"/>
  <c r="Q52" i="41"/>
  <c r="S53" i="41"/>
  <c r="U21" i="65"/>
  <c r="U91" i="65" s="1"/>
  <c r="U102" i="65" s="1"/>
  <c r="Q26" i="65"/>
  <c r="Q96" i="65" s="1"/>
  <c r="M20" i="65"/>
  <c r="Y26" i="65"/>
  <c r="Y96" i="65" s="1"/>
  <c r="Y107" i="65" s="1"/>
  <c r="Y74" i="41"/>
  <c r="Y102" i="41" s="1"/>
  <c r="R51" i="41"/>
  <c r="Y57" i="41"/>
  <c r="J56" i="41"/>
  <c r="V26" i="65"/>
  <c r="V96" i="65" s="1"/>
  <c r="V53" i="41"/>
  <c r="K20" i="65"/>
  <c r="Q53" i="41"/>
  <c r="N74" i="41"/>
  <c r="N102" i="41" s="1"/>
  <c r="K21" i="65"/>
  <c r="W52" i="41"/>
  <c r="L52" i="41"/>
  <c r="L20" i="65"/>
  <c r="Q74" i="41"/>
  <c r="Q102" i="41" s="1"/>
  <c r="P22" i="65"/>
  <c r="S21" i="65"/>
  <c r="S91" i="65" s="1"/>
  <c r="N24" i="41"/>
  <c r="J20" i="41"/>
  <c r="Q24" i="41"/>
  <c r="P24" i="41"/>
  <c r="Q76" i="41"/>
  <c r="AW102" i="41" s="1"/>
  <c r="V52" i="41"/>
  <c r="U51" i="41"/>
  <c r="R57" i="41"/>
  <c r="Q57" i="41"/>
  <c r="S52" i="41"/>
  <c r="L24" i="41"/>
  <c r="L75" i="41"/>
  <c r="AB102" i="41" s="1"/>
  <c r="X26" i="65"/>
  <c r="X96" i="65" s="1"/>
  <c r="S76" i="41"/>
  <c r="AY102" i="41" s="1"/>
  <c r="V22" i="65"/>
  <c r="V92" i="65" s="1"/>
  <c r="S20" i="65"/>
  <c r="S90" i="65" s="1"/>
  <c r="M24" i="41"/>
  <c r="M55" i="41" s="1"/>
  <c r="K56" i="41"/>
  <c r="N20" i="65"/>
  <c r="J24" i="41"/>
  <c r="X52" i="41"/>
  <c r="O24" i="41"/>
  <c r="L74" i="41"/>
  <c r="L102" i="41" s="1"/>
  <c r="W75" i="41"/>
  <c r="AM102" i="41" s="1"/>
  <c r="Q75" i="41"/>
  <c r="AG102" i="41" s="1"/>
  <c r="U57" i="41"/>
  <c r="O51" i="41"/>
  <c r="K24" i="41"/>
  <c r="L57" i="41"/>
  <c r="L26" i="65"/>
  <c r="L96" i="65" s="1"/>
  <c r="R21" i="65"/>
  <c r="R91" i="65" s="1"/>
  <c r="R75" i="41"/>
  <c r="AH102" i="41" s="1"/>
  <c r="R52" i="41"/>
  <c r="O161" i="74"/>
  <c r="R161" i="74"/>
  <c r="P161" i="74"/>
  <c r="N161" i="74"/>
  <c r="K161" i="74"/>
  <c r="T161" i="74"/>
  <c r="V161" i="74"/>
  <c r="Q161" i="74"/>
  <c r="M161" i="74"/>
  <c r="U161" i="74"/>
  <c r="X161" i="74"/>
  <c r="W161" i="74"/>
  <c r="S161" i="74"/>
  <c r="J49" i="55"/>
  <c r="H223" i="71" a="1"/>
  <c r="H223" i="71" s="1"/>
  <c r="J48" i="55" s="1"/>
  <c r="A4" i="83"/>
  <c r="J46" i="55"/>
  <c r="J161" i="74"/>
  <c r="L161" i="74"/>
  <c r="H291" i="73" a="1"/>
  <c r="H291" i="73" s="1"/>
  <c r="H295" i="73" s="1"/>
  <c r="P129" i="105"/>
  <c r="P135" i="105"/>
  <c r="V107" i="65" l="1"/>
  <c r="V136" i="65" s="1"/>
  <c r="V51" i="105" s="1"/>
  <c r="V90" i="105" s="1"/>
  <c r="U38" i="82"/>
  <c r="S103" i="65"/>
  <c r="S132" i="65" s="1"/>
  <c r="S47" i="105" s="1"/>
  <c r="S86" i="105" s="1"/>
  <c r="S34" i="82"/>
  <c r="X101" i="65"/>
  <c r="X130" i="65" s="1"/>
  <c r="X45" i="105" s="1"/>
  <c r="X84" i="105" s="1"/>
  <c r="V32" i="82"/>
  <c r="X103" i="65"/>
  <c r="X132" i="65" s="1"/>
  <c r="X47" i="105" s="1"/>
  <c r="X86" i="105" s="1"/>
  <c r="V34" i="82"/>
  <c r="O106" i="65"/>
  <c r="O135" i="65" s="1"/>
  <c r="O50" i="105" s="1"/>
  <c r="O89" i="105" s="1"/>
  <c r="O37" i="82"/>
  <c r="V102" i="65"/>
  <c r="V131" i="65" s="1"/>
  <c r="V46" i="105" s="1"/>
  <c r="V85" i="105" s="1"/>
  <c r="U33" i="82"/>
  <c r="N106" i="65"/>
  <c r="N135" i="65" s="1"/>
  <c r="N50" i="105" s="1"/>
  <c r="N89" i="105" s="1"/>
  <c r="N37" i="82"/>
  <c r="K107" i="65"/>
  <c r="K136" i="65" s="1"/>
  <c r="K51" i="105" s="1"/>
  <c r="K90" i="105" s="1"/>
  <c r="K38" i="82"/>
  <c r="X107" i="65"/>
  <c r="X136" i="65" s="1"/>
  <c r="X51" i="105" s="1"/>
  <c r="X90" i="105" s="1"/>
  <c r="V38" i="82"/>
  <c r="J107" i="65"/>
  <c r="J136" i="65" s="1"/>
  <c r="J51" i="105" s="1"/>
  <c r="J90" i="105" s="1"/>
  <c r="J38" i="82"/>
  <c r="L106" i="65"/>
  <c r="L135" i="65" s="1"/>
  <c r="L50" i="105" s="1"/>
  <c r="L89" i="105" s="1"/>
  <c r="L37" i="82"/>
  <c r="X102" i="65"/>
  <c r="X131" i="65" s="1"/>
  <c r="X46" i="105" s="1"/>
  <c r="X85" i="105" s="1"/>
  <c r="V33" i="82"/>
  <c r="P107" i="65"/>
  <c r="P136" i="65" s="1"/>
  <c r="P51" i="105" s="1"/>
  <c r="P90" i="105" s="1"/>
  <c r="P38" i="82"/>
  <c r="R101" i="65"/>
  <c r="R130" i="65" s="1"/>
  <c r="R45" i="105" s="1"/>
  <c r="R84" i="105" s="1"/>
  <c r="R32" i="82"/>
  <c r="Q106" i="65"/>
  <c r="Q135" i="65" s="1"/>
  <c r="Q50" i="105" s="1"/>
  <c r="Q89" i="105" s="1"/>
  <c r="Q37" i="82"/>
  <c r="R103" i="65"/>
  <c r="R132" i="65" s="1"/>
  <c r="R47" i="105" s="1"/>
  <c r="R86" i="105" s="1"/>
  <c r="R34" i="82"/>
  <c r="O107" i="65"/>
  <c r="O136" i="65" s="1"/>
  <c r="O51" i="105" s="1"/>
  <c r="O90" i="105" s="1"/>
  <c r="O38" i="82"/>
  <c r="T103" i="65"/>
  <c r="T132" i="65" s="1"/>
  <c r="T47" i="105" s="1"/>
  <c r="T86" i="105" s="1"/>
  <c r="T34" i="82"/>
  <c r="N107" i="65"/>
  <c r="N136" i="65" s="1"/>
  <c r="N51" i="105" s="1"/>
  <c r="N90" i="105" s="1"/>
  <c r="N38" i="82"/>
  <c r="T107" i="65"/>
  <c r="T136" i="65" s="1"/>
  <c r="T51" i="105" s="1"/>
  <c r="T90" i="105" s="1"/>
  <c r="T38" i="82"/>
  <c r="S101" i="65"/>
  <c r="S130" i="65" s="1"/>
  <c r="S45" i="105" s="1"/>
  <c r="S84" i="105" s="1"/>
  <c r="S32" i="82"/>
  <c r="S102" i="65"/>
  <c r="S131" i="65" s="1"/>
  <c r="S46" i="105" s="1"/>
  <c r="S85" i="105" s="1"/>
  <c r="S33" i="82"/>
  <c r="P106" i="65"/>
  <c r="P135" i="65" s="1"/>
  <c r="P50" i="105" s="1"/>
  <c r="P89" i="105" s="1"/>
  <c r="P37" i="82"/>
  <c r="V101" i="65"/>
  <c r="V130" i="65" s="1"/>
  <c r="V45" i="105" s="1"/>
  <c r="V84" i="105" s="1"/>
  <c r="U32" i="82"/>
  <c r="S107" i="65"/>
  <c r="S136" i="65" s="1"/>
  <c r="S51" i="105" s="1"/>
  <c r="S90" i="105" s="1"/>
  <c r="S38" i="82"/>
  <c r="K106" i="65"/>
  <c r="K135" i="65" s="1"/>
  <c r="K50" i="105" s="1"/>
  <c r="K89" i="105" s="1"/>
  <c r="K37" i="82"/>
  <c r="R102" i="65"/>
  <c r="R131" i="65" s="1"/>
  <c r="R46" i="105" s="1"/>
  <c r="R85" i="105" s="1"/>
  <c r="R33" i="82"/>
  <c r="V103" i="65"/>
  <c r="V132" i="65" s="1"/>
  <c r="V47" i="105" s="1"/>
  <c r="V86" i="105" s="1"/>
  <c r="U34" i="82"/>
  <c r="L107" i="65"/>
  <c r="L136" i="65" s="1"/>
  <c r="L51" i="105" s="1"/>
  <c r="L90" i="105" s="1"/>
  <c r="L38" i="82"/>
  <c r="Q107" i="65"/>
  <c r="Q136" i="65" s="1"/>
  <c r="Q51" i="105" s="1"/>
  <c r="Q90" i="105" s="1"/>
  <c r="Q38" i="82"/>
  <c r="T102" i="65"/>
  <c r="T131" i="65" s="1"/>
  <c r="T46" i="105" s="1"/>
  <c r="T85" i="105" s="1"/>
  <c r="T33" i="82"/>
  <c r="T101" i="65"/>
  <c r="T130" i="65" s="1"/>
  <c r="T45" i="105" s="1"/>
  <c r="T84" i="105" s="1"/>
  <c r="T32" i="82"/>
  <c r="M110" i="105"/>
  <c r="M187" i="105"/>
  <c r="M109" i="105"/>
  <c r="M186" i="105"/>
  <c r="M99" i="105"/>
  <c r="M175" i="105"/>
  <c r="L116" i="65"/>
  <c r="L145" i="65" s="1"/>
  <c r="L60" i="105" s="1"/>
  <c r="L125" i="65"/>
  <c r="L154" i="65" s="1"/>
  <c r="L69" i="105" s="1"/>
  <c r="S119" i="65"/>
  <c r="S148" i="65" s="1"/>
  <c r="S63" i="105" s="1"/>
  <c r="X125" i="65"/>
  <c r="X154" i="65" s="1"/>
  <c r="X69" i="105" s="1"/>
  <c r="X110" i="105" s="1"/>
  <c r="V125" i="65"/>
  <c r="V154" i="65" s="1"/>
  <c r="V69" i="105" s="1"/>
  <c r="V110" i="105" s="1"/>
  <c r="Y136" i="65"/>
  <c r="Y51" i="105" s="1"/>
  <c r="Y90" i="105" s="1"/>
  <c r="Y131" i="65"/>
  <c r="Y46" i="105" s="1"/>
  <c r="Y85" i="105" s="1"/>
  <c r="O124" i="65"/>
  <c r="O153" i="65" s="1"/>
  <c r="O68" i="105" s="1"/>
  <c r="O186" i="105" s="1"/>
  <c r="V120" i="65"/>
  <c r="V149" i="65" s="1"/>
  <c r="V64" i="105" s="1"/>
  <c r="P124" i="65"/>
  <c r="P153" i="65" s="1"/>
  <c r="P68" i="105" s="1"/>
  <c r="P109" i="105" s="1"/>
  <c r="L124" i="65"/>
  <c r="L153" i="65" s="1"/>
  <c r="L68" i="105" s="1"/>
  <c r="L186" i="105" s="1"/>
  <c r="L115" i="65"/>
  <c r="L144" i="65" s="1"/>
  <c r="L59" i="105" s="1"/>
  <c r="L175" i="105" s="1"/>
  <c r="S125" i="65"/>
  <c r="S154" i="65" s="1"/>
  <c r="S69" i="105" s="1"/>
  <c r="J125" i="65"/>
  <c r="J154" i="65" s="1"/>
  <c r="J69" i="105" s="1"/>
  <c r="J110" i="105" s="1"/>
  <c r="J116" i="65"/>
  <c r="J145" i="65" s="1"/>
  <c r="J60" i="105" s="1"/>
  <c r="Q115" i="65"/>
  <c r="Q144" i="65" s="1"/>
  <c r="Q59" i="105" s="1"/>
  <c r="Q124" i="65"/>
  <c r="Q153" i="65" s="1"/>
  <c r="Q68" i="105" s="1"/>
  <c r="Q109" i="105" s="1"/>
  <c r="N115" i="65"/>
  <c r="N144" i="65" s="1"/>
  <c r="N59" i="105" s="1"/>
  <c r="N99" i="105" s="1"/>
  <c r="N124" i="65"/>
  <c r="N153" i="65" s="1"/>
  <c r="N68" i="105" s="1"/>
  <c r="N109" i="105" s="1"/>
  <c r="K124" i="65"/>
  <c r="K153" i="65" s="1"/>
  <c r="K68" i="105" s="1"/>
  <c r="K115" i="65"/>
  <c r="K144" i="65" s="1"/>
  <c r="K59" i="105" s="1"/>
  <c r="V121" i="65"/>
  <c r="V150" i="65" s="1"/>
  <c r="V65" i="105" s="1"/>
  <c r="S121" i="65"/>
  <c r="S150" i="65" s="1"/>
  <c r="S65" i="105" s="1"/>
  <c r="O125" i="65"/>
  <c r="O154" i="65" s="1"/>
  <c r="O69" i="105" s="1"/>
  <c r="V119" i="65"/>
  <c r="V148" i="65" s="1"/>
  <c r="V63" i="105" s="1"/>
  <c r="R119" i="65"/>
  <c r="R148" i="65" s="1"/>
  <c r="R63" i="105" s="1"/>
  <c r="R110" i="65"/>
  <c r="R139" i="65" s="1"/>
  <c r="R54" i="105" s="1"/>
  <c r="N125" i="65"/>
  <c r="N154" i="65" s="1"/>
  <c r="N69" i="105" s="1"/>
  <c r="N110" i="105" s="1"/>
  <c r="N116" i="65"/>
  <c r="N145" i="65" s="1"/>
  <c r="N60" i="105" s="1"/>
  <c r="R110" i="105"/>
  <c r="R187" i="105"/>
  <c r="R100" i="105"/>
  <c r="R176" i="105"/>
  <c r="Q125" i="65"/>
  <c r="Q154" i="65" s="1"/>
  <c r="Q69" i="105" s="1"/>
  <c r="Q110" i="105" s="1"/>
  <c r="Q116" i="65"/>
  <c r="Q145" i="65" s="1"/>
  <c r="Q60" i="105" s="1"/>
  <c r="X121" i="65"/>
  <c r="X150" i="65" s="1"/>
  <c r="X65" i="105" s="1"/>
  <c r="R121" i="65"/>
  <c r="R150" i="65" s="1"/>
  <c r="R65" i="105" s="1"/>
  <c r="R112" i="65"/>
  <c r="R141" i="65" s="1"/>
  <c r="R56" i="105" s="1"/>
  <c r="P125" i="65"/>
  <c r="P154" i="65" s="1"/>
  <c r="P69" i="105" s="1"/>
  <c r="P110" i="105" s="1"/>
  <c r="W132" i="65"/>
  <c r="W47" i="105" s="1"/>
  <c r="W86" i="105" s="1"/>
  <c r="Y130" i="65"/>
  <c r="Y45" i="105" s="1"/>
  <c r="Y84" i="105" s="1"/>
  <c r="W136" i="65"/>
  <c r="W51" i="105" s="1"/>
  <c r="W90" i="105" s="1"/>
  <c r="X120" i="65"/>
  <c r="X149" i="65" s="1"/>
  <c r="X64" i="105" s="1"/>
  <c r="X105" i="105" s="1"/>
  <c r="T119" i="65"/>
  <c r="T148" i="65" s="1"/>
  <c r="T63" i="105" s="1"/>
  <c r="T110" i="65"/>
  <c r="T139" i="65" s="1"/>
  <c r="T54" i="105" s="1"/>
  <c r="T94" i="105" s="1"/>
  <c r="M100" i="105"/>
  <c r="M176" i="105"/>
  <c r="R120" i="65"/>
  <c r="R149" i="65" s="1"/>
  <c r="R64" i="105" s="1"/>
  <c r="R111" i="65"/>
  <c r="R140" i="65" s="1"/>
  <c r="R55" i="105" s="1"/>
  <c r="S120" i="65"/>
  <c r="S149" i="65" s="1"/>
  <c r="S64" i="105" s="1"/>
  <c r="U131" i="65"/>
  <c r="U46" i="105" s="1"/>
  <c r="U85" i="105" s="1"/>
  <c r="T121" i="65"/>
  <c r="T150" i="65" s="1"/>
  <c r="T65" i="105" s="1"/>
  <c r="T183" i="105" s="1"/>
  <c r="T112" i="65"/>
  <c r="T141" i="65" s="1"/>
  <c r="T56" i="105" s="1"/>
  <c r="X119" i="65"/>
  <c r="X148" i="65" s="1"/>
  <c r="X63" i="105" s="1"/>
  <c r="T120" i="65"/>
  <c r="T149" i="65" s="1"/>
  <c r="T64" i="105" s="1"/>
  <c r="T105" i="105" s="1"/>
  <c r="T111" i="65"/>
  <c r="T140" i="65" s="1"/>
  <c r="T55" i="105" s="1"/>
  <c r="T171" i="105" s="1"/>
  <c r="Y132" i="65"/>
  <c r="Y47" i="105" s="1"/>
  <c r="Y86" i="105" s="1"/>
  <c r="W130" i="65"/>
  <c r="W45" i="105" s="1"/>
  <c r="W84" i="105" s="1"/>
  <c r="K116" i="65"/>
  <c r="K145" i="65" s="1"/>
  <c r="K60" i="105" s="1"/>
  <c r="K125" i="65"/>
  <c r="K154" i="65" s="1"/>
  <c r="K69" i="105" s="1"/>
  <c r="T116" i="65"/>
  <c r="T145" i="65" s="1"/>
  <c r="T60" i="105" s="1"/>
  <c r="T100" i="105" s="1"/>
  <c r="T125" i="65"/>
  <c r="T154" i="65" s="1"/>
  <c r="T69" i="105" s="1"/>
  <c r="T187" i="105" s="1"/>
  <c r="J24" i="65"/>
  <c r="J94" i="65" s="1"/>
  <c r="H56" i="41"/>
  <c r="N55" i="41"/>
  <c r="P55" i="41"/>
  <c r="J20" i="65"/>
  <c r="L55" i="41"/>
  <c r="J55" i="41"/>
  <c r="L24" i="65"/>
  <c r="L94" i="65" s="1"/>
  <c r="N24" i="65"/>
  <c r="N94" i="65" s="1"/>
  <c r="O24" i="65"/>
  <c r="O94" i="65" s="1"/>
  <c r="H53" i="41"/>
  <c r="H52" i="41"/>
  <c r="O55" i="41"/>
  <c r="Q24" i="65"/>
  <c r="Q94" i="65" s="1"/>
  <c r="Q55" i="41"/>
  <c r="K55" i="41"/>
  <c r="J74" i="41"/>
  <c r="J102" i="41" s="1"/>
  <c r="M24" i="65"/>
  <c r="M94" i="65" s="1"/>
  <c r="H57" i="41"/>
  <c r="P24" i="65"/>
  <c r="P94" i="65" s="1"/>
  <c r="J51" i="41"/>
  <c r="H51" i="41" s="1"/>
  <c r="K24" i="65"/>
  <c r="K94" i="65" s="1"/>
  <c r="S23" i="41"/>
  <c r="Y23" i="41"/>
  <c r="P23" i="41"/>
  <c r="P54" i="41" s="1"/>
  <c r="L23" i="41"/>
  <c r="X23" i="41"/>
  <c r="Q23" i="41"/>
  <c r="K23" i="41"/>
  <c r="K54" i="41" s="1"/>
  <c r="O23" i="41"/>
  <c r="J23" i="41"/>
  <c r="J54" i="41" s="1"/>
  <c r="U23" i="41"/>
  <c r="V23" i="41"/>
  <c r="N23" i="41"/>
  <c r="W23" i="41"/>
  <c r="M23" i="41"/>
  <c r="M54" i="41" s="1"/>
  <c r="M58" i="41" s="1"/>
  <c r="T23" i="41"/>
  <c r="R23" i="41"/>
  <c r="R54" i="41" s="1"/>
  <c r="R58" i="41" s="1"/>
  <c r="A4" i="71"/>
  <c r="J186" i="105"/>
  <c r="J109" i="105"/>
  <c r="J50" i="55"/>
  <c r="A4" i="73"/>
  <c r="J175" i="105"/>
  <c r="J99" i="105"/>
  <c r="H165" i="74" a="1"/>
  <c r="H165" i="74" s="1"/>
  <c r="S106" i="105" l="1"/>
  <c r="S183" i="105"/>
  <c r="S110" i="105"/>
  <c r="S187" i="105"/>
  <c r="S105" i="105"/>
  <c r="S182" i="105"/>
  <c r="S104" i="105"/>
  <c r="S181" i="105"/>
  <c r="K105" i="65"/>
  <c r="K134" i="65" s="1"/>
  <c r="K49" i="105" s="1"/>
  <c r="K88" i="105" s="1"/>
  <c r="K36" i="82"/>
  <c r="Q105" i="65"/>
  <c r="Q134" i="65" s="1"/>
  <c r="Q49" i="105" s="1"/>
  <c r="Q88" i="105" s="1"/>
  <c r="Q36" i="82"/>
  <c r="L105" i="65"/>
  <c r="L134" i="65" s="1"/>
  <c r="L49" i="105" s="1"/>
  <c r="L88" i="105" s="1"/>
  <c r="L36" i="82"/>
  <c r="P105" i="65"/>
  <c r="P134" i="65" s="1"/>
  <c r="P49" i="105" s="1"/>
  <c r="P88" i="105" s="1"/>
  <c r="P36" i="82"/>
  <c r="J105" i="65"/>
  <c r="J134" i="65" s="1"/>
  <c r="J49" i="105" s="1"/>
  <c r="J88" i="105" s="1"/>
  <c r="J36" i="82"/>
  <c r="M105" i="65"/>
  <c r="M134" i="65" s="1"/>
  <c r="M49" i="105" s="1"/>
  <c r="M88" i="105" s="1"/>
  <c r="M36" i="82"/>
  <c r="O105" i="65"/>
  <c r="O134" i="65" s="1"/>
  <c r="O49" i="105" s="1"/>
  <c r="O88" i="105" s="1"/>
  <c r="O36" i="82"/>
  <c r="N105" i="65"/>
  <c r="N134" i="65" s="1"/>
  <c r="N49" i="105" s="1"/>
  <c r="N88" i="105" s="1"/>
  <c r="N36" i="82"/>
  <c r="X182" i="105"/>
  <c r="T96" i="105"/>
  <c r="T172" i="105"/>
  <c r="X104" i="105"/>
  <c r="X181" i="105"/>
  <c r="T104" i="105"/>
  <c r="T181" i="105"/>
  <c r="L99" i="105"/>
  <c r="N175" i="105"/>
  <c r="V104" i="105"/>
  <c r="V181" i="105"/>
  <c r="K110" i="105"/>
  <c r="K187" i="105"/>
  <c r="Q100" i="105"/>
  <c r="Q176" i="105"/>
  <c r="O110" i="105"/>
  <c r="O187" i="105"/>
  <c r="J176" i="105"/>
  <c r="J100" i="105"/>
  <c r="X106" i="105"/>
  <c r="X183" i="105"/>
  <c r="V183" i="105"/>
  <c r="V106" i="105"/>
  <c r="K99" i="105"/>
  <c r="K175" i="105"/>
  <c r="Q99" i="105"/>
  <c r="Q175" i="105"/>
  <c r="K100" i="105"/>
  <c r="K176" i="105"/>
  <c r="R96" i="105"/>
  <c r="R172" i="105"/>
  <c r="N100" i="105"/>
  <c r="N176" i="105"/>
  <c r="V182" i="105"/>
  <c r="V105" i="105"/>
  <c r="R105" i="105"/>
  <c r="R182" i="105"/>
  <c r="M123" i="65"/>
  <c r="M152" i="65" s="1"/>
  <c r="M67" i="105" s="1"/>
  <c r="M114" i="65"/>
  <c r="M143" i="65" s="1"/>
  <c r="M58" i="105" s="1"/>
  <c r="L114" i="65"/>
  <c r="L143" i="65" s="1"/>
  <c r="L58" i="105" s="1"/>
  <c r="L123" i="65"/>
  <c r="L152" i="65" s="1"/>
  <c r="L67" i="105" s="1"/>
  <c r="L108" i="105" s="1"/>
  <c r="R95" i="105"/>
  <c r="R171" i="105"/>
  <c r="O123" i="65"/>
  <c r="O152" i="65" s="1"/>
  <c r="O67" i="105" s="1"/>
  <c r="R106" i="105"/>
  <c r="R183" i="105"/>
  <c r="R94" i="105"/>
  <c r="R170" i="105"/>
  <c r="K109" i="105"/>
  <c r="K186" i="105"/>
  <c r="P123" i="65"/>
  <c r="P152" i="65" s="1"/>
  <c r="P67" i="105" s="1"/>
  <c r="P108" i="105" s="1"/>
  <c r="J114" i="65"/>
  <c r="J143" i="65" s="1"/>
  <c r="J58" i="105" s="1"/>
  <c r="J123" i="65"/>
  <c r="J152" i="65" s="1"/>
  <c r="J67" i="105" s="1"/>
  <c r="J185" i="105" s="1"/>
  <c r="K114" i="65"/>
  <c r="K143" i="65" s="1"/>
  <c r="K58" i="105" s="1"/>
  <c r="K123" i="65"/>
  <c r="K152" i="65" s="1"/>
  <c r="K67" i="105" s="1"/>
  <c r="Q123" i="65"/>
  <c r="Q152" i="65" s="1"/>
  <c r="Q67" i="105" s="1"/>
  <c r="Q114" i="65"/>
  <c r="Q143" i="65" s="1"/>
  <c r="Q58" i="105" s="1"/>
  <c r="Q174" i="105" s="1"/>
  <c r="N123" i="65"/>
  <c r="N152" i="65" s="1"/>
  <c r="N67" i="105" s="1"/>
  <c r="N185" i="105" s="1"/>
  <c r="N114" i="65"/>
  <c r="N143" i="65" s="1"/>
  <c r="N58" i="105" s="1"/>
  <c r="N98" i="105" s="1"/>
  <c r="R104" i="105"/>
  <c r="R181" i="105"/>
  <c r="T170" i="105"/>
  <c r="O54" i="41"/>
  <c r="O58" i="41" s="1"/>
  <c r="W23" i="65"/>
  <c r="W93" i="65" s="1"/>
  <c r="W104" i="65" s="1"/>
  <c r="T110" i="105"/>
  <c r="T176" i="105"/>
  <c r="N187" i="105"/>
  <c r="T182" i="105"/>
  <c r="T106" i="105"/>
  <c r="H89" i="105"/>
  <c r="N186" i="105"/>
  <c r="J187" i="105"/>
  <c r="Q186" i="105"/>
  <c r="L109" i="105"/>
  <c r="T95" i="105"/>
  <c r="P186" i="105"/>
  <c r="Q187" i="105"/>
  <c r="L54" i="41"/>
  <c r="L58" i="41" s="1"/>
  <c r="O109" i="105"/>
  <c r="P58" i="41"/>
  <c r="X187" i="105"/>
  <c r="H90" i="105"/>
  <c r="V187" i="105"/>
  <c r="Y109" i="41"/>
  <c r="N109" i="41"/>
  <c r="AZ109" i="41"/>
  <c r="AB109" i="41"/>
  <c r="Q109" i="41"/>
  <c r="AO109" i="41"/>
  <c r="X109" i="41"/>
  <c r="AY109" i="41"/>
  <c r="AQ109" i="41"/>
  <c r="BA109" i="41"/>
  <c r="P187" i="105"/>
  <c r="H55" i="41"/>
  <c r="AG109" i="41"/>
  <c r="L109" i="41"/>
  <c r="AC109" i="41"/>
  <c r="O109" i="41"/>
  <c r="AP109" i="41"/>
  <c r="J109" i="41"/>
  <c r="AJ109" i="41"/>
  <c r="V109" i="41"/>
  <c r="BB109" i="41"/>
  <c r="AK109" i="41"/>
  <c r="U109" i="41"/>
  <c r="W109" i="41"/>
  <c r="AS109" i="41"/>
  <c r="AA109" i="41"/>
  <c r="M109" i="41"/>
  <c r="AN109" i="41"/>
  <c r="AI109" i="41"/>
  <c r="R109" i="41"/>
  <c r="AT109" i="41"/>
  <c r="BE109" i="41"/>
  <c r="P109" i="41"/>
  <c r="K109" i="41"/>
  <c r="T109" i="41"/>
  <c r="BC109" i="41"/>
  <c r="AE109" i="41"/>
  <c r="AV109" i="41"/>
  <c r="Z109" i="41"/>
  <c r="AD109" i="41"/>
  <c r="BD109" i="41"/>
  <c r="AR109" i="41"/>
  <c r="AU109" i="41"/>
  <c r="AL109" i="41"/>
  <c r="AF109" i="41"/>
  <c r="AH109" i="41"/>
  <c r="AW109" i="41"/>
  <c r="S109" i="41"/>
  <c r="AX109" i="41"/>
  <c r="AM109" i="41"/>
  <c r="O23" i="65"/>
  <c r="O93" i="65" s="1"/>
  <c r="T54" i="41"/>
  <c r="T58" i="41" s="1"/>
  <c r="L23" i="65"/>
  <c r="L93" i="65" s="1"/>
  <c r="Q54" i="41"/>
  <c r="Q58" i="41" s="1"/>
  <c r="K58" i="41"/>
  <c r="Q23" i="65"/>
  <c r="Q93" i="65" s="1"/>
  <c r="Y54" i="41"/>
  <c r="Y58" i="41" s="1"/>
  <c r="V54" i="41"/>
  <c r="V58" i="41" s="1"/>
  <c r="Y23" i="65"/>
  <c r="Y93" i="65" s="1"/>
  <c r="Y104" i="65" s="1"/>
  <c r="V23" i="65"/>
  <c r="V93" i="65" s="1"/>
  <c r="T23" i="65"/>
  <c r="T93" i="65" s="1"/>
  <c r="U54" i="41"/>
  <c r="U58" i="41" s="1"/>
  <c r="X23" i="65"/>
  <c r="X93" i="65" s="1"/>
  <c r="S23" i="65"/>
  <c r="S93" i="65" s="1"/>
  <c r="M23" i="65"/>
  <c r="M93" i="65" s="1"/>
  <c r="J23" i="65"/>
  <c r="J93" i="65" s="1"/>
  <c r="W54" i="41"/>
  <c r="W58" i="41" s="1"/>
  <c r="N23" i="65"/>
  <c r="N93" i="65" s="1"/>
  <c r="P23" i="65"/>
  <c r="P93" i="65" s="1"/>
  <c r="J58" i="41"/>
  <c r="K23" i="65"/>
  <c r="K93" i="65" s="1"/>
  <c r="X54" i="41"/>
  <c r="X58" i="41" s="1"/>
  <c r="N54" i="41"/>
  <c r="N58" i="41" s="1"/>
  <c r="U23" i="65"/>
  <c r="U93" i="65" s="1"/>
  <c r="U104" i="65" s="1"/>
  <c r="L176" i="105"/>
  <c r="L100" i="105"/>
  <c r="S54" i="41"/>
  <c r="S58" i="41" s="1"/>
  <c r="R23" i="65"/>
  <c r="R93" i="65" s="1"/>
  <c r="L110" i="105"/>
  <c r="L187" i="105"/>
  <c r="A4" i="74"/>
  <c r="J51" i="55"/>
  <c r="J104" i="65" l="1"/>
  <c r="J133" i="65" s="1"/>
  <c r="J48" i="105" s="1"/>
  <c r="J87" i="105" s="1"/>
  <c r="J35" i="82"/>
  <c r="M104" i="65"/>
  <c r="M133" i="65" s="1"/>
  <c r="M48" i="105" s="1"/>
  <c r="M87" i="105" s="1"/>
  <c r="M35" i="82"/>
  <c r="K104" i="65"/>
  <c r="K133" i="65" s="1"/>
  <c r="K48" i="105" s="1"/>
  <c r="K87" i="105" s="1"/>
  <c r="K35" i="82"/>
  <c r="S104" i="65"/>
  <c r="S133" i="65" s="1"/>
  <c r="S48" i="105" s="1"/>
  <c r="S87" i="105" s="1"/>
  <c r="S91" i="105" s="1"/>
  <c r="S35" i="82"/>
  <c r="Q104" i="65"/>
  <c r="Q133" i="65" s="1"/>
  <c r="Q48" i="105" s="1"/>
  <c r="Q87" i="105" s="1"/>
  <c r="Q35" i="82"/>
  <c r="V104" i="65"/>
  <c r="V133" i="65" s="1"/>
  <c r="V48" i="105" s="1"/>
  <c r="V87" i="105" s="1"/>
  <c r="V91" i="105" s="1"/>
  <c r="V160" i="105" s="1"/>
  <c r="U35" i="82"/>
  <c r="R104" i="65"/>
  <c r="R133" i="65" s="1"/>
  <c r="R48" i="105" s="1"/>
  <c r="R87" i="105" s="1"/>
  <c r="R91" i="105" s="1"/>
  <c r="R160" i="105" s="1"/>
  <c r="R64" i="82" s="1"/>
  <c r="R35" i="82"/>
  <c r="X104" i="65"/>
  <c r="X133" i="65" s="1"/>
  <c r="X48" i="105" s="1"/>
  <c r="X87" i="105" s="1"/>
  <c r="X91" i="105" s="1"/>
  <c r="X134" i="105" s="1"/>
  <c r="V63" i="82" s="1"/>
  <c r="V35" i="82"/>
  <c r="N104" i="65"/>
  <c r="N35" i="82"/>
  <c r="O104" i="65"/>
  <c r="O133" i="65" s="1"/>
  <c r="O48" i="105" s="1"/>
  <c r="O87" i="105" s="1"/>
  <c r="O35" i="82"/>
  <c r="P104" i="65"/>
  <c r="P133" i="65" s="1"/>
  <c r="P48" i="105" s="1"/>
  <c r="P87" i="105" s="1"/>
  <c r="P35" i="82"/>
  <c r="T104" i="65"/>
  <c r="T133" i="65" s="1"/>
  <c r="T48" i="105" s="1"/>
  <c r="T87" i="105" s="1"/>
  <c r="T91" i="105" s="1"/>
  <c r="T160" i="105" s="1"/>
  <c r="T35" i="82"/>
  <c r="L104" i="65"/>
  <c r="L133" i="65" s="1"/>
  <c r="L48" i="105" s="1"/>
  <c r="L87" i="105" s="1"/>
  <c r="L35" i="82"/>
  <c r="H99" i="105"/>
  <c r="S119" i="41"/>
  <c r="AF119" i="41"/>
  <c r="AI119" i="41"/>
  <c r="AZ119" i="41"/>
  <c r="AU119" i="41"/>
  <c r="AN119" i="41"/>
  <c r="Y119" i="41"/>
  <c r="R119" i="41"/>
  <c r="BA119" i="41"/>
  <c r="Q119" i="41"/>
  <c r="AQ119" i="41"/>
  <c r="M119" i="41"/>
  <c r="BC119" i="41"/>
  <c r="AV119" i="41"/>
  <c r="AG119" i="41"/>
  <c r="Z119" i="41"/>
  <c r="AJ119" i="41"/>
  <c r="AD119" i="41"/>
  <c r="AY119" i="41"/>
  <c r="AS119" i="41"/>
  <c r="AC119" i="41"/>
  <c r="BD119" i="41"/>
  <c r="AO119" i="41"/>
  <c r="AH119" i="41"/>
  <c r="AE119" i="41"/>
  <c r="AR119" i="41"/>
  <c r="K119" i="41"/>
  <c r="AT119" i="41"/>
  <c r="N119" i="41"/>
  <c r="J119" i="41"/>
  <c r="J121" i="41" s="1"/>
  <c r="AW119" i="41"/>
  <c r="AP119" i="41"/>
  <c r="X119" i="41"/>
  <c r="AA119" i="41"/>
  <c r="T119" i="41"/>
  <c r="O119" i="41"/>
  <c r="AL119" i="41"/>
  <c r="AK119" i="41"/>
  <c r="BE119" i="41"/>
  <c r="AX119" i="41"/>
  <c r="BB119" i="41"/>
  <c r="AM119" i="41"/>
  <c r="AB119" i="41"/>
  <c r="W119" i="41"/>
  <c r="P119" i="41"/>
  <c r="V119" i="41"/>
  <c r="U119" i="41"/>
  <c r="L119" i="41"/>
  <c r="J174" i="105"/>
  <c r="J98" i="105"/>
  <c r="H100" i="105"/>
  <c r="Q185" i="105"/>
  <c r="Q108" i="105"/>
  <c r="O108" i="105"/>
  <c r="O185" i="105"/>
  <c r="L174" i="105"/>
  <c r="L98" i="105"/>
  <c r="R113" i="65"/>
  <c r="R142" i="65" s="1"/>
  <c r="R57" i="105" s="1"/>
  <c r="R122" i="65"/>
  <c r="R151" i="65" s="1"/>
  <c r="R66" i="105" s="1"/>
  <c r="M98" i="105"/>
  <c r="M174" i="105"/>
  <c r="P122" i="65"/>
  <c r="P151" i="65" s="1"/>
  <c r="P66" i="105" s="1"/>
  <c r="J122" i="65"/>
  <c r="J151" i="65" s="1"/>
  <c r="J66" i="105" s="1"/>
  <c r="J184" i="105" s="1"/>
  <c r="J113" i="65"/>
  <c r="J142" i="65" s="1"/>
  <c r="J57" i="105" s="1"/>
  <c r="J173" i="105" s="1"/>
  <c r="L122" i="65"/>
  <c r="L151" i="65" s="1"/>
  <c r="L66" i="105" s="1"/>
  <c r="L113" i="65"/>
  <c r="L142" i="65" s="1"/>
  <c r="L57" i="105" s="1"/>
  <c r="L173" i="105" s="1"/>
  <c r="W133" i="65"/>
  <c r="W48" i="105" s="1"/>
  <c r="W87" i="105" s="1"/>
  <c r="W91" i="105" s="1"/>
  <c r="K108" i="105"/>
  <c r="K185" i="105"/>
  <c r="M113" i="65"/>
  <c r="M142" i="65" s="1"/>
  <c r="M57" i="105" s="1"/>
  <c r="M122" i="65"/>
  <c r="M151" i="65" s="1"/>
  <c r="M66" i="105" s="1"/>
  <c r="T122" i="65"/>
  <c r="T151" i="65" s="1"/>
  <c r="T66" i="105" s="1"/>
  <c r="T184" i="105" s="1"/>
  <c r="T188" i="105" s="1"/>
  <c r="T113" i="65"/>
  <c r="T142" i="65" s="1"/>
  <c r="T57" i="105" s="1"/>
  <c r="T97" i="105" s="1"/>
  <c r="T101" i="105" s="1"/>
  <c r="K98" i="105"/>
  <c r="K174" i="105"/>
  <c r="K122" i="65"/>
  <c r="K151" i="65" s="1"/>
  <c r="K66" i="105" s="1"/>
  <c r="K113" i="65"/>
  <c r="K142" i="65" s="1"/>
  <c r="K57" i="105" s="1"/>
  <c r="M108" i="105"/>
  <c r="M185" i="105"/>
  <c r="N133" i="65"/>
  <c r="N48" i="105" s="1"/>
  <c r="N87" i="105" s="1"/>
  <c r="N113" i="65"/>
  <c r="N142" i="65" s="1"/>
  <c r="N57" i="105" s="1"/>
  <c r="N122" i="65"/>
  <c r="N151" i="65" s="1"/>
  <c r="N66" i="105" s="1"/>
  <c r="N184" i="105" s="1"/>
  <c r="S122" i="65"/>
  <c r="S151" i="65" s="1"/>
  <c r="S66" i="105" s="1"/>
  <c r="V122" i="65"/>
  <c r="V151" i="65" s="1"/>
  <c r="V66" i="105" s="1"/>
  <c r="V107" i="105" s="1"/>
  <c r="V111" i="105" s="1"/>
  <c r="Q113" i="65"/>
  <c r="Q142" i="65" s="1"/>
  <c r="Q57" i="105" s="1"/>
  <c r="Q97" i="105" s="1"/>
  <c r="Q122" i="65"/>
  <c r="Q151" i="65" s="1"/>
  <c r="Q66" i="105" s="1"/>
  <c r="O122" i="65"/>
  <c r="O151" i="65" s="1"/>
  <c r="O66" i="105" s="1"/>
  <c r="O184" i="105" s="1"/>
  <c r="U133" i="65"/>
  <c r="U48" i="105" s="1"/>
  <c r="U87" i="105" s="1"/>
  <c r="U91" i="105" s="1"/>
  <c r="X122" i="65"/>
  <c r="X151" i="65" s="1"/>
  <c r="X66" i="105" s="1"/>
  <c r="Y133" i="65"/>
  <c r="Y48" i="105" s="1"/>
  <c r="Y87" i="105" s="1"/>
  <c r="Y91" i="105" s="1"/>
  <c r="P185" i="105"/>
  <c r="H110" i="105"/>
  <c r="H109" i="105"/>
  <c r="J108" i="105"/>
  <c r="N108" i="105"/>
  <c r="L185" i="105"/>
  <c r="Q98" i="105"/>
  <c r="H88" i="105"/>
  <c r="N174" i="105"/>
  <c r="AM110" i="41"/>
  <c r="AD110" i="41"/>
  <c r="W110" i="41"/>
  <c r="AG110" i="41"/>
  <c r="AX110" i="41"/>
  <c r="AF110" i="41"/>
  <c r="AU110" i="41"/>
  <c r="Z110" i="41"/>
  <c r="T110" i="41"/>
  <c r="AT110" i="41"/>
  <c r="M110" i="41"/>
  <c r="U110" i="41"/>
  <c r="AJ110" i="41"/>
  <c r="O110" i="41"/>
  <c r="BA110" i="41"/>
  <c r="AO110" i="41"/>
  <c r="AZ110" i="41"/>
  <c r="AH110" i="41"/>
  <c r="BC110" i="41"/>
  <c r="AN110" i="41"/>
  <c r="AP110" i="41"/>
  <c r="S110" i="41"/>
  <c r="AR110" i="41"/>
  <c r="AV110" i="41"/>
  <c r="K110" i="41"/>
  <c r="R110" i="41"/>
  <c r="AA110" i="41"/>
  <c r="AK110" i="41"/>
  <c r="J110" i="41"/>
  <c r="AC110" i="41"/>
  <c r="AQ110" i="41"/>
  <c r="Q110" i="41"/>
  <c r="N110" i="41"/>
  <c r="AL110" i="41"/>
  <c r="BE110" i="41"/>
  <c r="V110" i="41"/>
  <c r="X110" i="41"/>
  <c r="AW110" i="41"/>
  <c r="BD110" i="41"/>
  <c r="AE110" i="41"/>
  <c r="P110" i="41"/>
  <c r="AI110" i="41"/>
  <c r="AS110" i="41"/>
  <c r="BB110" i="41"/>
  <c r="L110" i="41"/>
  <c r="AY110" i="41"/>
  <c r="AB110" i="41"/>
  <c r="Y110" i="41"/>
  <c r="H58" i="41"/>
  <c r="H60" i="41" s="1"/>
  <c r="H54" i="41"/>
  <c r="S162" i="105" l="1"/>
  <c r="S65" i="82" s="1"/>
  <c r="S134" i="105"/>
  <c r="S63" i="82" s="1"/>
  <c r="S128" i="105"/>
  <c r="S160" i="105"/>
  <c r="S64" i="82" s="1"/>
  <c r="T129" i="105"/>
  <c r="T135" i="105"/>
  <c r="Y162" i="105"/>
  <c r="Y134" i="105"/>
  <c r="Y128" i="105"/>
  <c r="Y160" i="105"/>
  <c r="V130" i="105"/>
  <c r="V136" i="105"/>
  <c r="U162" i="105"/>
  <c r="U134" i="105"/>
  <c r="U128" i="105"/>
  <c r="U160" i="105"/>
  <c r="S107" i="105"/>
  <c r="S111" i="105" s="1"/>
  <c r="S184" i="105"/>
  <c r="S188" i="105" s="1"/>
  <c r="W162" i="105"/>
  <c r="W128" i="105"/>
  <c r="W134" i="105"/>
  <c r="W160" i="105"/>
  <c r="H74" i="105"/>
  <c r="H116" i="105" s="1"/>
  <c r="H90" i="41"/>
  <c r="O107" i="105"/>
  <c r="H98" i="105"/>
  <c r="V128" i="105"/>
  <c r="V194" i="105" s="1"/>
  <c r="V134" i="105"/>
  <c r="U63" i="82" s="1"/>
  <c r="L107" i="105"/>
  <c r="L184" i="105"/>
  <c r="Q184" i="105"/>
  <c r="Q107" i="105"/>
  <c r="X184" i="105"/>
  <c r="X188" i="105" s="1"/>
  <c r="X107" i="105"/>
  <c r="X111" i="105" s="1"/>
  <c r="V162" i="105"/>
  <c r="U65" i="82" s="1"/>
  <c r="P184" i="105"/>
  <c r="P107" i="105"/>
  <c r="M97" i="105"/>
  <c r="M173" i="105"/>
  <c r="R97" i="105"/>
  <c r="R101" i="105" s="1"/>
  <c r="R173" i="105"/>
  <c r="R177" i="105" s="1"/>
  <c r="N173" i="105"/>
  <c r="N97" i="105"/>
  <c r="T134" i="105"/>
  <c r="T63" i="82" s="1"/>
  <c r="T162" i="105"/>
  <c r="T65" i="82" s="1"/>
  <c r="T128" i="105"/>
  <c r="T195" i="105" s="1"/>
  <c r="T74" i="82" s="1"/>
  <c r="K107" i="105"/>
  <c r="K184" i="105"/>
  <c r="R107" i="105"/>
  <c r="R111" i="105" s="1"/>
  <c r="R184" i="105"/>
  <c r="R188" i="105" s="1"/>
  <c r="M107" i="105"/>
  <c r="M184" i="105"/>
  <c r="K97" i="105"/>
  <c r="K173" i="105"/>
  <c r="R162" i="105"/>
  <c r="R65" i="82" s="1"/>
  <c r="R134" i="105"/>
  <c r="R63" i="82" s="1"/>
  <c r="R128" i="105"/>
  <c r="H108" i="105"/>
  <c r="L97" i="105"/>
  <c r="T107" i="105"/>
  <c r="T111" i="105" s="1"/>
  <c r="Q173" i="105"/>
  <c r="J97" i="105"/>
  <c r="T173" i="105"/>
  <c r="T177" i="105" s="1"/>
  <c r="V184" i="105"/>
  <c r="V188" i="105" s="1"/>
  <c r="J107" i="105"/>
  <c r="X128" i="105"/>
  <c r="X160" i="105"/>
  <c r="V64" i="82" s="1"/>
  <c r="X162" i="105"/>
  <c r="V65" i="82" s="1"/>
  <c r="N107" i="105"/>
  <c r="T64" i="82"/>
  <c r="U64" i="82"/>
  <c r="AB111" i="41"/>
  <c r="BD111" i="41"/>
  <c r="AK111" i="41"/>
  <c r="AZ111" i="41"/>
  <c r="AX111" i="41"/>
  <c r="AY111" i="41"/>
  <c r="AI111" i="41"/>
  <c r="AW111" i="41"/>
  <c r="AL111" i="41"/>
  <c r="AQ111" i="41"/>
  <c r="AA111" i="41"/>
  <c r="AR111" i="41"/>
  <c r="AN111" i="41"/>
  <c r="AO111" i="41"/>
  <c r="U111" i="41"/>
  <c r="Z111" i="41"/>
  <c r="AG111" i="41"/>
  <c r="AS111" i="41"/>
  <c r="Q111" i="41"/>
  <c r="AP111" i="41"/>
  <c r="T111" i="41"/>
  <c r="L111" i="41"/>
  <c r="P111" i="41"/>
  <c r="X111" i="41"/>
  <c r="AM111" i="41"/>
  <c r="AC111" i="41"/>
  <c r="R111" i="41"/>
  <c r="J123" i="41"/>
  <c r="H145" i="41"/>
  <c r="BC111" i="41"/>
  <c r="BA111" i="41"/>
  <c r="M111" i="41"/>
  <c r="AU111" i="41"/>
  <c r="W111" i="41"/>
  <c r="BE111" i="41"/>
  <c r="AV111" i="41"/>
  <c r="AJ111" i="41"/>
  <c r="Y111" i="41"/>
  <c r="BB111" i="41"/>
  <c r="AE111" i="41"/>
  <c r="V111" i="41"/>
  <c r="N111" i="41"/>
  <c r="J111" i="41"/>
  <c r="K111" i="41"/>
  <c r="S111" i="41"/>
  <c r="AH111" i="41"/>
  <c r="O111" i="41"/>
  <c r="AT111" i="41"/>
  <c r="AF111" i="41"/>
  <c r="AD111" i="41"/>
  <c r="H87" i="105"/>
  <c r="U195" i="105" l="1"/>
  <c r="U194" i="105"/>
  <c r="S62" i="82"/>
  <c r="S195" i="105"/>
  <c r="S74" i="82" s="1"/>
  <c r="S194" i="105"/>
  <c r="T130" i="105"/>
  <c r="T136" i="105"/>
  <c r="W195" i="105"/>
  <c r="W194" i="105"/>
  <c r="X130" i="105"/>
  <c r="X136" i="105"/>
  <c r="R129" i="105"/>
  <c r="R135" i="105"/>
  <c r="R136" i="105"/>
  <c r="R130" i="105"/>
  <c r="S136" i="105"/>
  <c r="S130" i="105"/>
  <c r="Y195" i="105"/>
  <c r="Y194" i="105"/>
  <c r="V195" i="105"/>
  <c r="U74" i="82" s="1"/>
  <c r="U62" i="82"/>
  <c r="T194" i="105"/>
  <c r="T73" i="82" s="1"/>
  <c r="X195" i="105"/>
  <c r="V74" i="82" s="1"/>
  <c r="T62" i="82"/>
  <c r="R195" i="105"/>
  <c r="R74" i="82" s="1"/>
  <c r="R62" i="82"/>
  <c r="R194" i="105"/>
  <c r="R73" i="82" s="1"/>
  <c r="BE117" i="41"/>
  <c r="BA117" i="41"/>
  <c r="AW117" i="41"/>
  <c r="AS117" i="41"/>
  <c r="AO117" i="41"/>
  <c r="AK117" i="41"/>
  <c r="AG117" i="41"/>
  <c r="AC117" i="41"/>
  <c r="Y117" i="41"/>
  <c r="U117" i="41"/>
  <c r="Q117" i="41"/>
  <c r="M117" i="41"/>
  <c r="BD117" i="41"/>
  <c r="AZ117" i="41"/>
  <c r="AV117" i="41"/>
  <c r="AR117" i="41"/>
  <c r="AN117" i="41"/>
  <c r="AJ117" i="41"/>
  <c r="AF117" i="41"/>
  <c r="AB117" i="41"/>
  <c r="X117" i="41"/>
  <c r="T117" i="41"/>
  <c r="P117" i="41"/>
  <c r="L117" i="41"/>
  <c r="BC117" i="41"/>
  <c r="AY117" i="41"/>
  <c r="AU117" i="41"/>
  <c r="AQ117" i="41"/>
  <c r="AM117" i="41"/>
  <c r="AI117" i="41"/>
  <c r="AE117" i="41"/>
  <c r="AA117" i="41"/>
  <c r="W117" i="41"/>
  <c r="S117" i="41"/>
  <c r="O117" i="41"/>
  <c r="K117" i="41"/>
  <c r="BB117" i="41"/>
  <c r="AX117" i="41"/>
  <c r="AT117" i="41"/>
  <c r="AP117" i="41"/>
  <c r="AL117" i="41"/>
  <c r="AH117" i="41"/>
  <c r="AD117" i="41"/>
  <c r="Z117" i="41"/>
  <c r="V117" i="41"/>
  <c r="R117" i="41"/>
  <c r="N117" i="41"/>
  <c r="H97" i="105"/>
  <c r="X194" i="105"/>
  <c r="V62" i="82"/>
  <c r="H107" i="105"/>
  <c r="J118" i="41"/>
  <c r="J117" i="41"/>
  <c r="K120" i="41" l="1"/>
  <c r="K118" i="41"/>
  <c r="L118" i="41" s="1"/>
  <c r="M118" i="41" s="1"/>
  <c r="N118" i="41" s="1"/>
  <c r="O118" i="41" s="1"/>
  <c r="P118" i="41" s="1"/>
  <c r="Q118" i="41" s="1"/>
  <c r="R118" i="41" s="1"/>
  <c r="S118" i="41" s="1"/>
  <c r="T118" i="41" s="1"/>
  <c r="U118" i="41" s="1"/>
  <c r="V118" i="41" s="1"/>
  <c r="W118" i="41" s="1"/>
  <c r="X118" i="41" s="1"/>
  <c r="Y118" i="41" s="1"/>
  <c r="Z118" i="41" s="1"/>
  <c r="AA118" i="41" s="1"/>
  <c r="AB118" i="41" s="1"/>
  <c r="AC118" i="41" s="1"/>
  <c r="AD118" i="41" s="1"/>
  <c r="AE118" i="41" s="1"/>
  <c r="AF118" i="41" s="1"/>
  <c r="AG118" i="41" s="1"/>
  <c r="AH118" i="41" s="1"/>
  <c r="AI118" i="41" s="1"/>
  <c r="AJ118" i="41" s="1"/>
  <c r="AK118" i="41" s="1"/>
  <c r="AL118" i="41" s="1"/>
  <c r="AM118" i="41" s="1"/>
  <c r="AN118" i="41" s="1"/>
  <c r="AO118" i="41" s="1"/>
  <c r="AP118" i="41" s="1"/>
  <c r="AQ118" i="41" s="1"/>
  <c r="AR118" i="41" s="1"/>
  <c r="AS118" i="41" s="1"/>
  <c r="AT118" i="41" s="1"/>
  <c r="AU118" i="41" s="1"/>
  <c r="AV118" i="41" s="1"/>
  <c r="AW118" i="41" s="1"/>
  <c r="AX118" i="41" s="1"/>
  <c r="AY118" i="41" s="1"/>
  <c r="AZ118" i="41" s="1"/>
  <c r="BA118" i="41" s="1"/>
  <c r="BB118" i="41" s="1"/>
  <c r="BC118" i="41" s="1"/>
  <c r="BD118" i="41" s="1"/>
  <c r="BE118" i="41" s="1"/>
  <c r="L120" i="41" l="1"/>
  <c r="K121" i="41"/>
  <c r="K123" i="41" s="1"/>
  <c r="M120" i="41" l="1"/>
  <c r="L121" i="41"/>
  <c r="L123" i="41" s="1"/>
  <c r="N120" i="41" l="1"/>
  <c r="M121" i="41"/>
  <c r="M123" i="41" s="1"/>
  <c r="O120" i="41" l="1"/>
  <c r="N121" i="41"/>
  <c r="N123" i="41" s="1"/>
  <c r="P120" i="41" l="1"/>
  <c r="O121" i="41"/>
  <c r="O123" i="41" s="1"/>
  <c r="Q120" i="41" l="1"/>
  <c r="P121" i="41"/>
  <c r="P123" i="41" s="1"/>
  <c r="R120" i="41" l="1"/>
  <c r="Q121" i="41"/>
  <c r="Q123" i="41" s="1"/>
  <c r="S120" i="41" l="1"/>
  <c r="R121" i="41"/>
  <c r="R123" i="41" s="1"/>
  <c r="T120" i="41" l="1"/>
  <c r="S121" i="41"/>
  <c r="S123" i="41" s="1"/>
  <c r="U120" i="41" l="1"/>
  <c r="T121" i="41"/>
  <c r="T123" i="41" s="1"/>
  <c r="V120" i="41" l="1"/>
  <c r="U121" i="41"/>
  <c r="U123" i="41" s="1"/>
  <c r="W120" i="41" l="1"/>
  <c r="V121" i="41"/>
  <c r="V123" i="41" s="1"/>
  <c r="X120" i="41" l="1"/>
  <c r="W121" i="41"/>
  <c r="W123" i="41" s="1"/>
  <c r="Y120" i="41" l="1"/>
  <c r="X121" i="41"/>
  <c r="X123" i="41" s="1"/>
  <c r="Z120" i="41" l="1"/>
  <c r="Y121" i="41"/>
  <c r="Y123" i="41" s="1"/>
  <c r="AA120" i="41" l="1"/>
  <c r="Z121" i="41"/>
  <c r="Z123" i="41" s="1"/>
  <c r="AB120" i="41" l="1"/>
  <c r="AA121" i="41"/>
  <c r="AA123" i="41" s="1"/>
  <c r="AC120" i="41" l="1"/>
  <c r="AB121" i="41"/>
  <c r="AB123" i="41" s="1"/>
  <c r="AD120" i="41" l="1"/>
  <c r="AC121" i="41"/>
  <c r="AC123" i="41" s="1"/>
  <c r="AE120" i="41" l="1"/>
  <c r="AD121" i="41"/>
  <c r="AD123" i="41" s="1"/>
  <c r="AF120" i="41" l="1"/>
  <c r="AE121" i="41"/>
  <c r="AE123" i="41" s="1"/>
  <c r="AG120" i="41" l="1"/>
  <c r="AF121" i="41"/>
  <c r="AF123" i="41" s="1"/>
  <c r="AH120" i="41" l="1"/>
  <c r="AG121" i="41"/>
  <c r="AG123" i="41" s="1"/>
  <c r="AI120" i="41" l="1"/>
  <c r="AH121" i="41"/>
  <c r="AH123" i="41" s="1"/>
  <c r="AJ120" i="41" l="1"/>
  <c r="AI121" i="41"/>
  <c r="AI123" i="41" s="1"/>
  <c r="AK120" i="41" l="1"/>
  <c r="AJ121" i="41"/>
  <c r="AJ123" i="41" s="1"/>
  <c r="AL120" i="41" l="1"/>
  <c r="AK121" i="41"/>
  <c r="AK123" i="41" s="1"/>
  <c r="AM120" i="41" l="1"/>
  <c r="AL121" i="41"/>
  <c r="AL123" i="41" s="1"/>
  <c r="AN120" i="41" l="1"/>
  <c r="AM121" i="41"/>
  <c r="AM123" i="41" s="1"/>
  <c r="AO120" i="41" l="1"/>
  <c r="AN121" i="41"/>
  <c r="AN123" i="41" s="1"/>
  <c r="AP120" i="41" l="1"/>
  <c r="AO121" i="41"/>
  <c r="AO123" i="41" s="1"/>
  <c r="AQ120" i="41" l="1"/>
  <c r="AP121" i="41"/>
  <c r="AP123" i="41" s="1"/>
  <c r="AR120" i="41" l="1"/>
  <c r="AQ121" i="41"/>
  <c r="AQ123" i="41" s="1"/>
  <c r="AS120" i="41" l="1"/>
  <c r="AR121" i="41"/>
  <c r="AR123" i="41" s="1"/>
  <c r="AT120" i="41" l="1"/>
  <c r="AS121" i="41"/>
  <c r="AS123" i="41" s="1"/>
  <c r="AU120" i="41" l="1"/>
  <c r="AT121" i="41"/>
  <c r="AT123" i="41" s="1"/>
  <c r="AV120" i="41" l="1"/>
  <c r="AU121" i="41"/>
  <c r="AU123" i="41" s="1"/>
  <c r="AW120" i="41" l="1"/>
  <c r="AV121" i="41"/>
  <c r="AV123" i="41" s="1"/>
  <c r="AX120" i="41" l="1"/>
  <c r="AW121" i="41"/>
  <c r="AW123" i="41" s="1"/>
  <c r="AY120" i="41" l="1"/>
  <c r="AX121" i="41"/>
  <c r="AX123" i="41" s="1"/>
  <c r="AZ120" i="41" l="1"/>
  <c r="AY121" i="41"/>
  <c r="AY123" i="41" s="1"/>
  <c r="BA120" i="41" l="1"/>
  <c r="AZ121" i="41"/>
  <c r="AZ123" i="41" s="1"/>
  <c r="BB120" i="41" l="1"/>
  <c r="BA121" i="41"/>
  <c r="BA123" i="41" s="1"/>
  <c r="BC120" i="41" l="1"/>
  <c r="BB121" i="41"/>
  <c r="BB123" i="41" s="1"/>
  <c r="BD120" i="41" l="1"/>
  <c r="BC121" i="41"/>
  <c r="BC123" i="41" s="1"/>
  <c r="BE120" i="41" l="1"/>
  <c r="BD121" i="41"/>
  <c r="BD123" i="41" s="1"/>
  <c r="BE121" i="41" l="1"/>
  <c r="BE123" i="41" l="1"/>
  <c r="H123" i="41"/>
  <c r="H129" i="41" l="1"/>
  <c r="N140" i="41" s="1"/>
  <c r="N151" i="41" s="1"/>
  <c r="M141" i="41" l="1"/>
  <c r="M152" i="41" s="1"/>
  <c r="M139" i="41"/>
  <c r="M150" i="41" s="1"/>
  <c r="P141" i="41"/>
  <c r="P152" i="41" s="1"/>
  <c r="L140" i="41"/>
  <c r="L151" i="41" s="1"/>
  <c r="L141" i="41"/>
  <c r="L152" i="41" s="1"/>
  <c r="N139" i="41"/>
  <c r="N150" i="41" s="1"/>
  <c r="J140" i="41"/>
  <c r="J151" i="41" s="1"/>
  <c r="Q141" i="41"/>
  <c r="Q152" i="41" s="1"/>
  <c r="J141" i="41"/>
  <c r="J152" i="41" s="1"/>
  <c r="Q140" i="41"/>
  <c r="Q151" i="41" s="1"/>
  <c r="P140" i="41"/>
  <c r="P151" i="41" s="1"/>
  <c r="N141" i="41"/>
  <c r="N152" i="41" s="1"/>
  <c r="K139" i="41"/>
  <c r="K150" i="41" s="1"/>
  <c r="P139" i="41"/>
  <c r="P150" i="41" s="1"/>
  <c r="K141" i="41"/>
  <c r="K152" i="41" s="1"/>
  <c r="O139" i="41"/>
  <c r="O150" i="41" s="1"/>
  <c r="M140" i="41"/>
  <c r="M151" i="41" s="1"/>
  <c r="O141" i="41"/>
  <c r="O152" i="41" s="1"/>
  <c r="O140" i="41"/>
  <c r="O151" i="41" s="1"/>
  <c r="J139" i="41"/>
  <c r="J150" i="41" s="1"/>
  <c r="Q139" i="41"/>
  <c r="Q150" i="41" s="1"/>
  <c r="K140" i="41"/>
  <c r="K151" i="41" s="1"/>
  <c r="L139" i="41"/>
  <c r="L150" i="41" s="1"/>
  <c r="N33" i="65"/>
  <c r="N91" i="65" s="1"/>
  <c r="M32" i="65" l="1"/>
  <c r="M90" i="65" s="1"/>
  <c r="M32" i="82" s="1"/>
  <c r="Q33" i="65"/>
  <c r="Q91" i="65" s="1"/>
  <c r="Q33" i="82" s="1"/>
  <c r="P33" i="65"/>
  <c r="P91" i="65" s="1"/>
  <c r="P120" i="65" s="1"/>
  <c r="P149" i="65" s="1"/>
  <c r="P64" i="105" s="1"/>
  <c r="L33" i="65"/>
  <c r="L91" i="65" s="1"/>
  <c r="L33" i="82" s="1"/>
  <c r="Q32" i="65"/>
  <c r="Q90" i="65" s="1"/>
  <c r="Q101" i="65" s="1"/>
  <c r="P32" i="65"/>
  <c r="P90" i="65" s="1"/>
  <c r="P101" i="65" s="1"/>
  <c r="P130" i="65" s="1"/>
  <c r="P45" i="105" s="1"/>
  <c r="P84" i="105" s="1"/>
  <c r="P34" i="65"/>
  <c r="P92" i="65" s="1"/>
  <c r="P103" i="65" s="1"/>
  <c r="P132" i="65" s="1"/>
  <c r="P47" i="105" s="1"/>
  <c r="P86" i="105" s="1"/>
  <c r="K33" i="65"/>
  <c r="K91" i="65" s="1"/>
  <c r="K33" i="82" s="1"/>
  <c r="L32" i="65"/>
  <c r="L90" i="65" s="1"/>
  <c r="L32" i="82" s="1"/>
  <c r="L34" i="65"/>
  <c r="L92" i="65" s="1"/>
  <c r="L34" i="82" s="1"/>
  <c r="M34" i="65"/>
  <c r="M92" i="65" s="1"/>
  <c r="M34" i="82" s="1"/>
  <c r="O34" i="65"/>
  <c r="O92" i="65" s="1"/>
  <c r="O103" i="65" s="1"/>
  <c r="O132" i="65" s="1"/>
  <c r="O47" i="105" s="1"/>
  <c r="O86" i="105" s="1"/>
  <c r="N34" i="65"/>
  <c r="N92" i="65" s="1"/>
  <c r="N103" i="65" s="1"/>
  <c r="N132" i="65" s="1"/>
  <c r="N47" i="105" s="1"/>
  <c r="N86" i="105" s="1"/>
  <c r="K34" i="65"/>
  <c r="K92" i="65" s="1"/>
  <c r="K103" i="65" s="1"/>
  <c r="K132" i="65" s="1"/>
  <c r="K47" i="105" s="1"/>
  <c r="K86" i="105" s="1"/>
  <c r="J34" i="65"/>
  <c r="J92" i="65" s="1"/>
  <c r="J34" i="82" s="1"/>
  <c r="K32" i="65"/>
  <c r="K90" i="65" s="1"/>
  <c r="K32" i="82" s="1"/>
  <c r="J33" i="65"/>
  <c r="J91" i="65" s="1"/>
  <c r="J33" i="82" s="1"/>
  <c r="J32" i="65"/>
  <c r="J90" i="65" s="1"/>
  <c r="J101" i="65" s="1"/>
  <c r="O32" i="65"/>
  <c r="O90" i="65" s="1"/>
  <c r="O32" i="82" s="1"/>
  <c r="N32" i="65"/>
  <c r="N90" i="65" s="1"/>
  <c r="N101" i="65" s="1"/>
  <c r="Q34" i="65"/>
  <c r="Q92" i="65" s="1"/>
  <c r="Q34" i="82" s="1"/>
  <c r="H147" i="41" a="1"/>
  <c r="H147" i="41" s="1"/>
  <c r="O33" i="65"/>
  <c r="O91" i="65" s="1"/>
  <c r="O33" i="82" s="1"/>
  <c r="M33" i="65"/>
  <c r="M91" i="65" s="1"/>
  <c r="M102" i="65" s="1"/>
  <c r="M101" i="65"/>
  <c r="Q102" i="65"/>
  <c r="N102" i="65"/>
  <c r="N33" i="82"/>
  <c r="H158" i="41"/>
  <c r="H160" i="41" s="1"/>
  <c r="P32" i="82" l="1"/>
  <c r="L102" i="65"/>
  <c r="L131" i="65" s="1"/>
  <c r="L46" i="105" s="1"/>
  <c r="L85" i="105" s="1"/>
  <c r="O121" i="65"/>
  <c r="O150" i="65" s="1"/>
  <c r="O65" i="105" s="1"/>
  <c r="O106" i="105" s="1"/>
  <c r="O34" i="82"/>
  <c r="P33" i="82"/>
  <c r="P102" i="65"/>
  <c r="P131" i="65" s="1"/>
  <c r="P46" i="105" s="1"/>
  <c r="P85" i="105" s="1"/>
  <c r="P91" i="105" s="1"/>
  <c r="P160" i="105" s="1"/>
  <c r="P119" i="65"/>
  <c r="P148" i="65" s="1"/>
  <c r="P63" i="105" s="1"/>
  <c r="P181" i="105" s="1"/>
  <c r="N34" i="82"/>
  <c r="Q32" i="82"/>
  <c r="P34" i="82"/>
  <c r="N32" i="82"/>
  <c r="L103" i="65"/>
  <c r="L132" i="65" s="1"/>
  <c r="L47" i="105" s="1"/>
  <c r="L86" i="105" s="1"/>
  <c r="J102" i="65"/>
  <c r="J131" i="65" s="1"/>
  <c r="J46" i="105" s="1"/>
  <c r="J85" i="105" s="1"/>
  <c r="O119" i="65"/>
  <c r="O148" i="65" s="1"/>
  <c r="O63" i="105" s="1"/>
  <c r="O104" i="105" s="1"/>
  <c r="L121" i="65"/>
  <c r="L150" i="65" s="1"/>
  <c r="L65" i="105" s="1"/>
  <c r="L106" i="105" s="1"/>
  <c r="K34" i="82"/>
  <c r="K112" i="65"/>
  <c r="K141" i="65" s="1"/>
  <c r="K56" i="105" s="1"/>
  <c r="K172" i="105" s="1"/>
  <c r="M103" i="65"/>
  <c r="M132" i="65" s="1"/>
  <c r="M47" i="105" s="1"/>
  <c r="M86" i="105" s="1"/>
  <c r="O102" i="65"/>
  <c r="O131" i="65" s="1"/>
  <c r="O46" i="105" s="1"/>
  <c r="O85" i="105" s="1"/>
  <c r="K102" i="65"/>
  <c r="K131" i="65" s="1"/>
  <c r="K46" i="105" s="1"/>
  <c r="K85" i="105" s="1"/>
  <c r="K101" i="65"/>
  <c r="K130" i="65" s="1"/>
  <c r="K45" i="105" s="1"/>
  <c r="K84" i="105" s="1"/>
  <c r="J32" i="82"/>
  <c r="M112" i="65"/>
  <c r="M141" i="65" s="1"/>
  <c r="M56" i="105" s="1"/>
  <c r="M96" i="105" s="1"/>
  <c r="P121" i="65"/>
  <c r="P150" i="65" s="1"/>
  <c r="P65" i="105" s="1"/>
  <c r="P183" i="105" s="1"/>
  <c r="N121" i="65"/>
  <c r="N150" i="65" s="1"/>
  <c r="N65" i="105" s="1"/>
  <c r="N106" i="105" s="1"/>
  <c r="J103" i="65"/>
  <c r="J132" i="65" s="1"/>
  <c r="J47" i="105" s="1"/>
  <c r="J86" i="105" s="1"/>
  <c r="L101" i="65"/>
  <c r="L130" i="65" s="1"/>
  <c r="L45" i="105" s="1"/>
  <c r="L84" i="105" s="1"/>
  <c r="L112" i="65"/>
  <c r="L141" i="65" s="1"/>
  <c r="L56" i="105" s="1"/>
  <c r="L172" i="105" s="1"/>
  <c r="K121" i="65"/>
  <c r="K150" i="65" s="1"/>
  <c r="K65" i="105" s="1"/>
  <c r="K183" i="105" s="1"/>
  <c r="M121" i="65"/>
  <c r="M150" i="65" s="1"/>
  <c r="M65" i="105" s="1"/>
  <c r="M106" i="105" s="1"/>
  <c r="O120" i="65"/>
  <c r="O149" i="65" s="1"/>
  <c r="O64" i="105" s="1"/>
  <c r="O105" i="105" s="1"/>
  <c r="J121" i="65"/>
  <c r="J150" i="65" s="1"/>
  <c r="J65" i="105" s="1"/>
  <c r="J106" i="105" s="1"/>
  <c r="N112" i="65"/>
  <c r="N141" i="65" s="1"/>
  <c r="N56" i="105" s="1"/>
  <c r="N172" i="105" s="1"/>
  <c r="Q103" i="65"/>
  <c r="Q132" i="65" s="1"/>
  <c r="Q47" i="105" s="1"/>
  <c r="Q86" i="105" s="1"/>
  <c r="O101" i="65"/>
  <c r="O130" i="65" s="1"/>
  <c r="O45" i="105" s="1"/>
  <c r="O84" i="105" s="1"/>
  <c r="J112" i="65"/>
  <c r="J141" i="65" s="1"/>
  <c r="J56" i="105" s="1"/>
  <c r="J172" i="105" s="1"/>
  <c r="Q121" i="65"/>
  <c r="Q150" i="65" s="1"/>
  <c r="Q65" i="105" s="1"/>
  <c r="Q106" i="105" s="1"/>
  <c r="Q112" i="65"/>
  <c r="Q141" i="65" s="1"/>
  <c r="Q56" i="105" s="1"/>
  <c r="Q96" i="105" s="1"/>
  <c r="M33" i="82"/>
  <c r="M120" i="65"/>
  <c r="M149" i="65" s="1"/>
  <c r="M64" i="105" s="1"/>
  <c r="M131" i="65"/>
  <c r="M46" i="105" s="1"/>
  <c r="M85" i="105" s="1"/>
  <c r="M111" i="65"/>
  <c r="M140" i="65" s="1"/>
  <c r="M55" i="105" s="1"/>
  <c r="K111" i="65"/>
  <c r="K140" i="65" s="1"/>
  <c r="K55" i="105" s="1"/>
  <c r="K120" i="65"/>
  <c r="K149" i="65" s="1"/>
  <c r="K64" i="105" s="1"/>
  <c r="L120" i="65"/>
  <c r="L149" i="65" s="1"/>
  <c r="L64" i="105" s="1"/>
  <c r="L111" i="65"/>
  <c r="L140" i="65" s="1"/>
  <c r="L55" i="105" s="1"/>
  <c r="L171" i="105" s="1"/>
  <c r="Q120" i="65"/>
  <c r="Q149" i="65" s="1"/>
  <c r="Q64" i="105" s="1"/>
  <c r="Q182" i="105" s="1"/>
  <c r="Q111" i="65"/>
  <c r="Q140" i="65" s="1"/>
  <c r="Q55" i="105" s="1"/>
  <c r="Q95" i="105" s="1"/>
  <c r="Q131" i="65"/>
  <c r="Q46" i="105" s="1"/>
  <c r="Q85" i="105" s="1"/>
  <c r="Q110" i="65"/>
  <c r="Q139" i="65" s="1"/>
  <c r="Q54" i="105" s="1"/>
  <c r="Q170" i="105" s="1"/>
  <c r="Q130" i="65"/>
  <c r="Q45" i="105" s="1"/>
  <c r="Q84" i="105" s="1"/>
  <c r="Q119" i="65"/>
  <c r="Q148" i="65" s="1"/>
  <c r="Q63" i="105" s="1"/>
  <c r="Q181" i="105" s="1"/>
  <c r="N111" i="65"/>
  <c r="N140" i="65" s="1"/>
  <c r="N55" i="105" s="1"/>
  <c r="N171" i="105" s="1"/>
  <c r="N120" i="65"/>
  <c r="N149" i="65" s="1"/>
  <c r="N64" i="105" s="1"/>
  <c r="N105" i="105" s="1"/>
  <c r="N131" i="65"/>
  <c r="N46" i="105" s="1"/>
  <c r="N85" i="105" s="1"/>
  <c r="J119" i="65"/>
  <c r="J148" i="65" s="1"/>
  <c r="J130" i="65"/>
  <c r="J45" i="105" s="1"/>
  <c r="J110" i="65"/>
  <c r="J139" i="65" s="1"/>
  <c r="N110" i="65"/>
  <c r="N139" i="65" s="1"/>
  <c r="N54" i="105" s="1"/>
  <c r="N119" i="65"/>
  <c r="N148" i="65" s="1"/>
  <c r="N63" i="105" s="1"/>
  <c r="N181" i="105" s="1"/>
  <c r="N130" i="65"/>
  <c r="N45" i="105" s="1"/>
  <c r="N84" i="105" s="1"/>
  <c r="M130" i="65"/>
  <c r="M45" i="105" s="1"/>
  <c r="M84" i="105" s="1"/>
  <c r="M110" i="65"/>
  <c r="M139" i="65" s="1"/>
  <c r="M54" i="105" s="1"/>
  <c r="M119" i="65"/>
  <c r="M148" i="65" s="1"/>
  <c r="M63" i="105" s="1"/>
  <c r="J120" i="65"/>
  <c r="J149" i="65" s="1"/>
  <c r="J64" i="105" s="1"/>
  <c r="J105" i="105" s="1"/>
  <c r="J111" i="65"/>
  <c r="J140" i="65" s="1"/>
  <c r="J55" i="105" s="1"/>
  <c r="J171" i="105" s="1"/>
  <c r="K119" i="65"/>
  <c r="K148" i="65" s="1"/>
  <c r="K63" i="105" s="1"/>
  <c r="K110" i="65"/>
  <c r="K139" i="65" s="1"/>
  <c r="K54" i="105" s="1"/>
  <c r="L119" i="65"/>
  <c r="L148" i="65" s="1"/>
  <c r="L63" i="105" s="1"/>
  <c r="L181" i="105" s="1"/>
  <c r="L110" i="65"/>
  <c r="L139" i="65" s="1"/>
  <c r="L54" i="105" s="1"/>
  <c r="L170" i="105" s="1"/>
  <c r="H162" i="41"/>
  <c r="H75" i="105"/>
  <c r="H117" i="105" s="1"/>
  <c r="O183" i="105"/>
  <c r="P105" i="105"/>
  <c r="P182" i="105"/>
  <c r="P104" i="105" l="1"/>
  <c r="O181" i="105"/>
  <c r="L183" i="105"/>
  <c r="K96" i="105"/>
  <c r="O182" i="105"/>
  <c r="P106" i="105"/>
  <c r="N96" i="105"/>
  <c r="O91" i="105"/>
  <c r="O162" i="105" s="1"/>
  <c r="N183" i="105"/>
  <c r="L96" i="105"/>
  <c r="J96" i="105"/>
  <c r="K106" i="105"/>
  <c r="M183" i="105"/>
  <c r="J183" i="105"/>
  <c r="M172" i="105"/>
  <c r="H86" i="105"/>
  <c r="Q172" i="105"/>
  <c r="Q183" i="105"/>
  <c r="Q188" i="105" s="1"/>
  <c r="Q104" i="105"/>
  <c r="L95" i="105"/>
  <c r="N91" i="105"/>
  <c r="N128" i="105" s="1"/>
  <c r="Q171" i="105"/>
  <c r="J95" i="105"/>
  <c r="L91" i="105"/>
  <c r="L128" i="105" s="1"/>
  <c r="L62" i="82" s="1"/>
  <c r="N95" i="105"/>
  <c r="Q94" i="105"/>
  <c r="Q101" i="105" s="1"/>
  <c r="Q91" i="105"/>
  <c r="Q128" i="105" s="1"/>
  <c r="L104" i="105"/>
  <c r="K91" i="105"/>
  <c r="M91" i="105"/>
  <c r="N104" i="105"/>
  <c r="N111" i="105" s="1"/>
  <c r="N182" i="105"/>
  <c r="H85" i="105"/>
  <c r="Q105" i="105"/>
  <c r="L94" i="105"/>
  <c r="J182" i="105"/>
  <c r="J16" i="106" a="1"/>
  <c r="J31" i="106" s="1"/>
  <c r="M94" i="105"/>
  <c r="M170" i="105"/>
  <c r="L105" i="105"/>
  <c r="L182" i="105"/>
  <c r="K95" i="105"/>
  <c r="K171" i="105"/>
  <c r="N170" i="105"/>
  <c r="N177" i="105" s="1"/>
  <c r="N94" i="105"/>
  <c r="M95" i="105"/>
  <c r="M171" i="105"/>
  <c r="K104" i="105"/>
  <c r="K181" i="105"/>
  <c r="M104" i="105"/>
  <c r="M181" i="105"/>
  <c r="M105" i="105"/>
  <c r="M182" i="105"/>
  <c r="K94" i="105"/>
  <c r="K170" i="105"/>
  <c r="K105" i="105"/>
  <c r="K182" i="105"/>
  <c r="P162" i="105"/>
  <c r="P65" i="82" s="1"/>
  <c r="P128" i="105"/>
  <c r="P62" i="82" s="1"/>
  <c r="P134" i="105"/>
  <c r="P63" i="82" s="1"/>
  <c r="P64" i="82"/>
  <c r="P188" i="105"/>
  <c r="O111" i="105"/>
  <c r="O136" i="105" s="1"/>
  <c r="J84" i="105"/>
  <c r="J63" i="105"/>
  <c r="J52" i="106" a="1"/>
  <c r="L177" i="105"/>
  <c r="J54" i="105"/>
  <c r="J34" i="106" a="1"/>
  <c r="H158" i="65" a="1"/>
  <c r="H158" i="65" s="1"/>
  <c r="J52" i="55"/>
  <c r="A4" i="41"/>
  <c r="P111" i="105" l="1"/>
  <c r="P130" i="105" s="1"/>
  <c r="L188" i="105"/>
  <c r="L195" i="105" s="1"/>
  <c r="L74" i="82" s="1"/>
  <c r="O188" i="105"/>
  <c r="O160" i="105"/>
  <c r="O64" i="82" s="1"/>
  <c r="O134" i="105"/>
  <c r="O63" i="82" s="1"/>
  <c r="N162" i="105"/>
  <c r="N65" i="82" s="1"/>
  <c r="N188" i="105"/>
  <c r="N195" i="105" s="1"/>
  <c r="H96" i="105"/>
  <c r="O128" i="105"/>
  <c r="O62" i="82" s="1"/>
  <c r="H106" i="105"/>
  <c r="L160" i="105"/>
  <c r="L64" i="82" s="1"/>
  <c r="N101" i="105"/>
  <c r="N135" i="105" s="1"/>
  <c r="Q177" i="105"/>
  <c r="Q194" i="105" s="1"/>
  <c r="Q111" i="105"/>
  <c r="Q130" i="105" s="1"/>
  <c r="L101" i="105"/>
  <c r="L135" i="105" s="1"/>
  <c r="L194" i="105"/>
  <c r="L73" i="82" s="1"/>
  <c r="L134" i="105"/>
  <c r="L63" i="82" s="1"/>
  <c r="L162" i="105"/>
  <c r="L65" i="82" s="1"/>
  <c r="N134" i="105"/>
  <c r="N63" i="82" s="1"/>
  <c r="N160" i="105"/>
  <c r="N64" i="82" s="1"/>
  <c r="Q135" i="105"/>
  <c r="Q129" i="105"/>
  <c r="Q160" i="105"/>
  <c r="Q64" i="82" s="1"/>
  <c r="M128" i="105"/>
  <c r="M62" i="82" s="1"/>
  <c r="M160" i="105"/>
  <c r="M64" i="82" s="1"/>
  <c r="Q134" i="105"/>
  <c r="Q63" i="82" s="1"/>
  <c r="K162" i="105"/>
  <c r="K65" i="82" s="1"/>
  <c r="K160" i="105"/>
  <c r="K64" i="82" s="1"/>
  <c r="Q162" i="105"/>
  <c r="Q65" i="82" s="1"/>
  <c r="K177" i="105"/>
  <c r="K134" i="105"/>
  <c r="K63" i="82" s="1"/>
  <c r="L111" i="105"/>
  <c r="L136" i="105" s="1"/>
  <c r="K128" i="105"/>
  <c r="K62" i="82" s="1"/>
  <c r="M134" i="105"/>
  <c r="M63" i="82" s="1"/>
  <c r="H95" i="105"/>
  <c r="K188" i="105"/>
  <c r="M162" i="105"/>
  <c r="M65" i="82" s="1"/>
  <c r="K101" i="105"/>
  <c r="H105" i="105"/>
  <c r="K111" i="105"/>
  <c r="M188" i="105"/>
  <c r="M177" i="105"/>
  <c r="M111" i="105"/>
  <c r="M101" i="105"/>
  <c r="J20" i="106"/>
  <c r="J17" i="106"/>
  <c r="K25" i="106"/>
  <c r="P21" i="106"/>
  <c r="M23" i="106"/>
  <c r="O31" i="106"/>
  <c r="O18" i="106"/>
  <c r="J29" i="106"/>
  <c r="J18" i="106"/>
  <c r="N21" i="106"/>
  <c r="P31" i="106"/>
  <c r="K30" i="106"/>
  <c r="L31" i="106"/>
  <c r="L29" i="106"/>
  <c r="M25" i="106"/>
  <c r="O27" i="106"/>
  <c r="M31" i="106"/>
  <c r="M22" i="106"/>
  <c r="P29" i="106"/>
  <c r="P16" i="106"/>
  <c r="N25" i="106"/>
  <c r="N17" i="106"/>
  <c r="J19" i="106"/>
  <c r="K26" i="106"/>
  <c r="P30" i="106"/>
  <c r="N22" i="106"/>
  <c r="P20" i="106"/>
  <c r="O20" i="106"/>
  <c r="N19" i="106"/>
  <c r="L16" i="106"/>
  <c r="M20" i="106"/>
  <c r="M29" i="106"/>
  <c r="N28" i="106"/>
  <c r="P28" i="106"/>
  <c r="N20" i="106"/>
  <c r="K17" i="106"/>
  <c r="J16" i="106"/>
  <c r="L22" i="106"/>
  <c r="K18" i="106"/>
  <c r="L21" i="106"/>
  <c r="M16" i="106"/>
  <c r="L19" i="106"/>
  <c r="J23" i="106"/>
  <c r="J21" i="106"/>
  <c r="K31" i="106"/>
  <c r="O19" i="106"/>
  <c r="L28" i="106"/>
  <c r="K16" i="106"/>
  <c r="L20" i="106"/>
  <c r="M27" i="106"/>
  <c r="O22" i="106"/>
  <c r="K20" i="106"/>
  <c r="M24" i="106"/>
  <c r="L17" i="106"/>
  <c r="O28" i="106"/>
  <c r="M30" i="106"/>
  <c r="P27" i="106"/>
  <c r="J22" i="106"/>
  <c r="M26" i="106"/>
  <c r="K27" i="106"/>
  <c r="N30" i="106"/>
  <c r="O25" i="106"/>
  <c r="N23" i="106"/>
  <c r="O23" i="106"/>
  <c r="K24" i="106"/>
  <c r="P19" i="106"/>
  <c r="J25" i="106"/>
  <c r="J27" i="106"/>
  <c r="M17" i="106"/>
  <c r="L23" i="106"/>
  <c r="O24" i="106"/>
  <c r="O26" i="106"/>
  <c r="P25" i="106"/>
  <c r="K19" i="106"/>
  <c r="N29" i="106"/>
  <c r="P22" i="106"/>
  <c r="K22" i="106"/>
  <c r="P26" i="106"/>
  <c r="J30" i="106"/>
  <c r="L30" i="106"/>
  <c r="P23" i="106"/>
  <c r="J28" i="106"/>
  <c r="M19" i="106"/>
  <c r="N18" i="106"/>
  <c r="M28" i="106"/>
  <c r="L25" i="106"/>
  <c r="N27" i="106"/>
  <c r="N16" i="106"/>
  <c r="K29" i="106"/>
  <c r="N24" i="106"/>
  <c r="L27" i="106"/>
  <c r="N31" i="106"/>
  <c r="L24" i="106"/>
  <c r="P17" i="106"/>
  <c r="L26" i="106"/>
  <c r="O30" i="106"/>
  <c r="O17" i="106"/>
  <c r="K28" i="106"/>
  <c r="O16" i="106"/>
  <c r="O29" i="106"/>
  <c r="P24" i="106"/>
  <c r="K23" i="106"/>
  <c r="J24" i="106"/>
  <c r="M21" i="106"/>
  <c r="L18" i="106"/>
  <c r="K21" i="106"/>
  <c r="O21" i="106"/>
  <c r="P18" i="106"/>
  <c r="M18" i="106"/>
  <c r="J26" i="106"/>
  <c r="N26" i="106"/>
  <c r="P194" i="105"/>
  <c r="P195" i="105"/>
  <c r="P74" i="82" s="1"/>
  <c r="O130" i="105"/>
  <c r="O65" i="82"/>
  <c r="J170" i="105"/>
  <c r="J177" i="105" s="1"/>
  <c r="J94" i="105"/>
  <c r="N136" i="105"/>
  <c r="N130" i="105"/>
  <c r="J91" i="105"/>
  <c r="H84" i="105"/>
  <c r="H91" i="105" s="1"/>
  <c r="A4" i="65"/>
  <c r="J54" i="55"/>
  <c r="J55" i="106"/>
  <c r="K61" i="106"/>
  <c r="P67" i="106"/>
  <c r="N62" i="106"/>
  <c r="P52" i="106"/>
  <c r="P60" i="106"/>
  <c r="M62" i="106"/>
  <c r="K67" i="106"/>
  <c r="N61" i="106"/>
  <c r="O53" i="106"/>
  <c r="O55" i="106"/>
  <c r="J66" i="106"/>
  <c r="L58" i="106"/>
  <c r="L61" i="106"/>
  <c r="J62" i="106"/>
  <c r="P61" i="106"/>
  <c r="J61" i="106"/>
  <c r="N53" i="106"/>
  <c r="L62" i="106"/>
  <c r="M52" i="106"/>
  <c r="P55" i="106"/>
  <c r="K54" i="106"/>
  <c r="K53" i="106"/>
  <c r="L65" i="106"/>
  <c r="O57" i="106"/>
  <c r="O65" i="106"/>
  <c r="P64" i="106"/>
  <c r="N56" i="106"/>
  <c r="M60" i="106"/>
  <c r="L63" i="106"/>
  <c r="K59" i="106"/>
  <c r="L64" i="106"/>
  <c r="L56" i="106"/>
  <c r="M61" i="106"/>
  <c r="M59" i="106"/>
  <c r="M54" i="106"/>
  <c r="P54" i="106"/>
  <c r="O66" i="106"/>
  <c r="K60" i="106"/>
  <c r="M57" i="106"/>
  <c r="L57" i="106"/>
  <c r="M53" i="106"/>
  <c r="O64" i="106"/>
  <c r="K66" i="106"/>
  <c r="N63" i="106"/>
  <c r="L53" i="106"/>
  <c r="K62" i="106"/>
  <c r="L67" i="106"/>
  <c r="P66" i="106"/>
  <c r="M64" i="106"/>
  <c r="K65" i="106"/>
  <c r="J67" i="106"/>
  <c r="N54" i="106"/>
  <c r="N67" i="106"/>
  <c r="M63" i="106"/>
  <c r="M58" i="106"/>
  <c r="K63" i="106"/>
  <c r="O62" i="106"/>
  <c r="K52" i="106"/>
  <c r="P57" i="106"/>
  <c r="J65" i="106"/>
  <c r="L59" i="106"/>
  <c r="L54" i="106"/>
  <c r="M65" i="106"/>
  <c r="K58" i="106"/>
  <c r="L55" i="106"/>
  <c r="L66" i="106"/>
  <c r="J57" i="106"/>
  <c r="K56" i="106"/>
  <c r="M56" i="106"/>
  <c r="J58" i="106"/>
  <c r="J52" i="106"/>
  <c r="O54" i="106"/>
  <c r="P65" i="106"/>
  <c r="K55" i="106"/>
  <c r="O52" i="106"/>
  <c r="L52" i="106"/>
  <c r="N64" i="106"/>
  <c r="N66" i="106"/>
  <c r="K57" i="106"/>
  <c r="J59" i="106"/>
  <c r="O59" i="106"/>
  <c r="P58" i="106"/>
  <c r="P62" i="106"/>
  <c r="P56" i="106"/>
  <c r="M67" i="106"/>
  <c r="N59" i="106"/>
  <c r="O60" i="106"/>
  <c r="O61" i="106"/>
  <c r="K64" i="106"/>
  <c r="N55" i="106"/>
  <c r="J63" i="106"/>
  <c r="J53" i="106"/>
  <c r="O58" i="106"/>
  <c r="M55" i="106"/>
  <c r="P53" i="106"/>
  <c r="J60" i="106"/>
  <c r="P63" i="106"/>
  <c r="N60" i="106"/>
  <c r="J64" i="106"/>
  <c r="J54" i="106"/>
  <c r="L60" i="106"/>
  <c r="N65" i="106"/>
  <c r="O67" i="106"/>
  <c r="N57" i="106"/>
  <c r="J56" i="106"/>
  <c r="O63" i="106"/>
  <c r="O56" i="106"/>
  <c r="M66" i="106"/>
  <c r="P59" i="106"/>
  <c r="N52" i="106"/>
  <c r="N58" i="106"/>
  <c r="Q195" i="105"/>
  <c r="Q62" i="82"/>
  <c r="P48" i="106"/>
  <c r="K40" i="106"/>
  <c r="M49" i="106"/>
  <c r="O41" i="106"/>
  <c r="K46" i="106"/>
  <c r="L40" i="106"/>
  <c r="K36" i="106"/>
  <c r="J36" i="106"/>
  <c r="P45" i="106"/>
  <c r="O36" i="106"/>
  <c r="J47" i="106"/>
  <c r="M48" i="106"/>
  <c r="N42" i="106"/>
  <c r="M47" i="106"/>
  <c r="J37" i="106"/>
  <c r="N48" i="106"/>
  <c r="O35" i="106"/>
  <c r="N46" i="106"/>
  <c r="K47" i="106"/>
  <c r="N43" i="106"/>
  <c r="K44" i="106"/>
  <c r="O43" i="106"/>
  <c r="M45" i="106"/>
  <c r="J44" i="106"/>
  <c r="J40" i="106"/>
  <c r="O40" i="106"/>
  <c r="K37" i="106"/>
  <c r="O44" i="106"/>
  <c r="N38" i="106"/>
  <c r="L45" i="106"/>
  <c r="K39" i="106"/>
  <c r="M46" i="106"/>
  <c r="N39" i="106"/>
  <c r="N44" i="106"/>
  <c r="M44" i="106"/>
  <c r="P40" i="106"/>
  <c r="P49" i="106"/>
  <c r="M41" i="106"/>
  <c r="O34" i="106"/>
  <c r="O42" i="106"/>
  <c r="P46" i="106"/>
  <c r="J49" i="106"/>
  <c r="K43" i="106"/>
  <c r="P44" i="106"/>
  <c r="N40" i="106"/>
  <c r="K45" i="106"/>
  <c r="N35" i="106"/>
  <c r="J38" i="106"/>
  <c r="J48" i="106"/>
  <c r="O37" i="106"/>
  <c r="K49" i="106"/>
  <c r="J35" i="106"/>
  <c r="P35" i="106"/>
  <c r="O47" i="106"/>
  <c r="L38" i="106"/>
  <c r="J45" i="106"/>
  <c r="L41" i="106"/>
  <c r="N45" i="106"/>
  <c r="O39" i="106"/>
  <c r="N47" i="106"/>
  <c r="M43" i="106"/>
  <c r="L39" i="106"/>
  <c r="L47" i="106"/>
  <c r="O46" i="106"/>
  <c r="P47" i="106"/>
  <c r="J42" i="106"/>
  <c r="M35" i="106"/>
  <c r="J46" i="106"/>
  <c r="O49" i="106"/>
  <c r="N34" i="106"/>
  <c r="L44" i="106"/>
  <c r="L48" i="106"/>
  <c r="M39" i="106"/>
  <c r="J41" i="106"/>
  <c r="N41" i="106"/>
  <c r="N49" i="106"/>
  <c r="P39" i="106"/>
  <c r="M36" i="106"/>
  <c r="L49" i="106"/>
  <c r="L35" i="106"/>
  <c r="M37" i="106"/>
  <c r="M40" i="106"/>
  <c r="P37" i="106"/>
  <c r="K34" i="106"/>
  <c r="K38" i="106"/>
  <c r="M34" i="106"/>
  <c r="O45" i="106"/>
  <c r="K48" i="106"/>
  <c r="M38" i="106"/>
  <c r="J34" i="106"/>
  <c r="K42" i="106"/>
  <c r="J43" i="106"/>
  <c r="L43" i="106"/>
  <c r="P41" i="106"/>
  <c r="O48" i="106"/>
  <c r="L36" i="106"/>
  <c r="L34" i="106"/>
  <c r="P42" i="106"/>
  <c r="O38" i="106"/>
  <c r="L46" i="106"/>
  <c r="J39" i="106"/>
  <c r="P36" i="106"/>
  <c r="K35" i="106"/>
  <c r="M42" i="106"/>
  <c r="P43" i="106"/>
  <c r="P38" i="106"/>
  <c r="K41" i="106"/>
  <c r="N37" i="106"/>
  <c r="P34" i="106"/>
  <c r="N36" i="106"/>
  <c r="L37" i="106"/>
  <c r="L42" i="106"/>
  <c r="N62" i="82"/>
  <c r="N194" i="105"/>
  <c r="J181" i="105"/>
  <c r="J188" i="105" s="1"/>
  <c r="J104" i="105"/>
  <c r="P136" i="105" l="1"/>
  <c r="O195" i="105"/>
  <c r="O194" i="105"/>
  <c r="N129" i="105"/>
  <c r="L129" i="105"/>
  <c r="Q136" i="105"/>
  <c r="M194" i="105"/>
  <c r="M73" i="82" s="1"/>
  <c r="M195" i="105"/>
  <c r="M74" i="82" s="1"/>
  <c r="M130" i="105"/>
  <c r="M136" i="105"/>
  <c r="K130" i="105"/>
  <c r="K136" i="105"/>
  <c r="M135" i="105"/>
  <c r="M129" i="105"/>
  <c r="K135" i="105"/>
  <c r="K129" i="105"/>
  <c r="K194" i="105"/>
  <c r="K73" i="82" s="1"/>
  <c r="L130" i="105"/>
  <c r="K195" i="105"/>
  <c r="K74" i="82" s="1"/>
  <c r="H71" i="106" a="1"/>
  <c r="H71" i="106" s="1"/>
  <c r="J56" i="55" s="1"/>
  <c r="Q74" i="82"/>
  <c r="N74" i="82"/>
  <c r="Q73" i="82"/>
  <c r="O74" i="82"/>
  <c r="N73" i="82"/>
  <c r="H94" i="105"/>
  <c r="J101" i="105"/>
  <c r="H104" i="105"/>
  <c r="H111" i="105" s="1"/>
  <c r="J111" i="105"/>
  <c r="J160" i="105"/>
  <c r="J162" i="105"/>
  <c r="J134" i="105"/>
  <c r="J128" i="105"/>
  <c r="A4" i="106" l="1"/>
  <c r="J65" i="82"/>
  <c r="J64" i="82"/>
  <c r="J63" i="82"/>
  <c r="J195" i="105"/>
  <c r="J62" i="82"/>
  <c r="J194" i="105"/>
  <c r="J136" i="105"/>
  <c r="J130" i="105"/>
  <c r="J135" i="105"/>
  <c r="J129" i="105"/>
  <c r="H101" i="105"/>
  <c r="H120" i="105" l="1"/>
  <c r="H121" i="105" s="1"/>
  <c r="J74" i="82"/>
  <c r="J73" i="82"/>
  <c r="H123" i="105" l="1"/>
  <c r="H124" i="105"/>
  <c r="H78" i="82" a="1"/>
  <c r="H78" i="82" s="1"/>
  <c r="J57" i="55" s="1"/>
  <c r="H199" i="105" l="1" a="1"/>
  <c r="H199" i="105" s="1"/>
  <c r="J55" i="55" s="1"/>
  <c r="J58" i="55" s="1"/>
  <c r="A4" i="55" s="1"/>
  <c r="A4" i="82"/>
  <c r="A4" i="105" l="1"/>
</calcChain>
</file>

<file path=xl/sharedStrings.xml><?xml version="1.0" encoding="utf-8"?>
<sst xmlns="http://schemas.openxmlformats.org/spreadsheetml/2006/main" count="5985" uniqueCount="1076">
  <si>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</si>
  <si>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</si>
  <si>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</si>
  <si>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</si>
  <si>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</si>
  <si>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</si>
  <si>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</si>
  <si>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</si>
  <si>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</si>
  <si>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</si>
  <si>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</si>
  <si>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</si>
  <si>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</si>
  <si>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</si>
  <si>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</si>
  <si>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</si>
  <si>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</si>
  <si>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</si>
  <si>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</si>
  <si>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</si>
  <si>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</si>
  <si>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</si>
  <si>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</si>
  <si>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</si>
  <si>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</si>
  <si>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</si>
  <si>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</si>
  <si>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</si>
  <si>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</si>
  <si>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</si>
  <si>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</si>
  <si>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</si>
  <si>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</si>
  <si>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</si>
  <si>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</si>
  <si>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</si>
  <si>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</si>
  <si>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</si>
  <si>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</si>
  <si>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</si>
  <si>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</si>
  <si>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</si>
  <si>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</si>
  <si>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</si>
  <si>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</si>
  <si>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</si>
  <si>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</si>
  <si>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</si>
  <si>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</si>
  <si>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</si>
  <si>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</si>
  <si>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</si>
  <si>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</si>
  <si>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</si>
  <si>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</si>
  <si>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</si>
  <si>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</si>
  <si>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</si>
  <si>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</si>
  <si>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</si>
  <si>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</si>
  <si>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</si>
  <si>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</si>
  <si>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</si>
  <si>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</si>
  <si>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</si>
  <si>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</si>
  <si>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</si>
  <si>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</si>
  <si>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</si>
  <si>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</si>
  <si>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</si>
  <si>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</si>
  <si>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</si>
  <si>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</si>
  <si>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</si>
  <si>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</si>
  <si>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</si>
  <si>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</si>
  <si>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</si>
  <si>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</si>
  <si>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</si>
  <si>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</si>
  <si>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</si>
  <si>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</si>
  <si>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</si>
  <si>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</si>
  <si>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</si>
  <si>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</si>
  <si>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</si>
  <si>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</si>
  <si>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</si>
  <si>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</si>
  <si>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</si>
  <si>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</si>
  <si>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</si>
  <si>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</si>
  <si>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</si>
  <si>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</si>
  <si>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</si>
  <si>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</si>
  <si>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</si>
  <si>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</si>
  <si>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</si>
  <si>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</si>
  <si>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</si>
  <si>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</si>
  <si>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</si>
  <si>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</si>
  <si>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</si>
  <si>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</si>
  <si>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</si>
  <si>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</si>
  <si>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</si>
  <si>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</si>
  <si>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</si>
  <si>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</si>
  <si>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</si>
  <si>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</si>
  <si>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</si>
  <si>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</si>
  <si>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</si>
  <si>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</si>
  <si>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</si>
  <si>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</si>
  <si>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</si>
  <si>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</si>
  <si>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</si>
  <si>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</si>
  <si>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</si>
  <si>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</si>
  <si>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</si>
  <si>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</si>
  <si>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</si>
  <si>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</si>
  <si>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</si>
  <si>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</si>
  <si>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</si>
  <si>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</si>
  <si>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</si>
  <si>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</si>
  <si>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</si>
  <si>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</si>
  <si>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</si>
  <si>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</si>
  <si>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</si>
  <si>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</si>
  <si>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</si>
  <si>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</si>
  <si>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</si>
  <si>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</si>
  <si>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</si>
  <si>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</si>
  <si>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</si>
  <si>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</si>
  <si>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</si>
  <si>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</si>
  <si>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</si>
  <si>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</si>
  <si>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</si>
  <si>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</si>
  <si>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</si>
  <si>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</si>
  <si>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</si>
  <si>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</si>
  <si>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</si>
  <si>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</si>
  <si>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</si>
  <si>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</si>
  <si>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</si>
  <si>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</si>
  <si>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</si>
  <si>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</si>
  <si>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</si>
  <si>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</si>
  <si>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</si>
  <si>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</si>
  <si>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</si>
  <si>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</si>
  <si>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</si>
  <si>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</si>
  <si>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</si>
  <si>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</si>
  <si>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</si>
  <si>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</si>
  <si>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</si>
  <si>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</si>
  <si>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</si>
  <si>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</si>
  <si>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</si>
  <si>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</si>
  <si>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</si>
  <si>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</si>
  <si>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</si>
  <si>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</si>
  <si>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</si>
  <si>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</si>
  <si>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</si>
  <si>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</si>
  <si>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</si>
  <si>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</si>
  <si>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</si>
  <si>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</si>
  <si>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</si>
  <si>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</si>
  <si>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</si>
  <si>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</si>
  <si>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</si>
  <si>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</si>
  <si>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</si>
  <si>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</si>
  <si>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</si>
  <si>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</si>
  <si>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</si>
  <si>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</si>
  <si>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</si>
  <si>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</si>
  <si>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</si>
  <si>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</si>
  <si>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</si>
  <si>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</si>
  <si>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</si>
  <si>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</si>
  <si>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</si>
  <si>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</si>
  <si>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</si>
  <si>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</si>
  <si>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</si>
  <si>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</si>
  <si>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</si>
  <si>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</si>
  <si>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</si>
  <si>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</si>
  <si>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</si>
  <si>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</si>
  <si>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</si>
  <si>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</si>
  <si>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</si>
  <si>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</si>
  <si>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</si>
  <si>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</si>
  <si>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</si>
  <si>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</si>
  <si>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</si>
  <si>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</si>
  <si>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</si>
  <si>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</si>
  <si>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</si>
  <si>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</si>
  <si>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</si>
  <si>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</si>
  <si>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</si>
  <si>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</si>
  <si>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</si>
  <si>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</si>
  <si>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</si>
  <si>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</si>
  <si>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</si>
  <si>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</si>
  <si>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</si>
  <si>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</si>
  <si>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</si>
  <si>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</si>
  <si>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</si>
  <si>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</si>
  <si>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</si>
  <si>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</si>
  <si>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</si>
  <si>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</si>
  <si>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</si>
  <si>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</si>
  <si>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</si>
  <si>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</si>
  <si>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</si>
  <si>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</si>
  <si>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</si>
  <si>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</si>
  <si>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</si>
  <si>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</si>
  <si>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</si>
  <si>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</si>
  <si>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</si>
  <si>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</si>
  <si>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</si>
  <si>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</si>
  <si>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</si>
  <si>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</si>
  <si>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</si>
  <si>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</si>
  <si>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</si>
  <si>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</si>
  <si>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</si>
  <si>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</si>
  <si>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</si>
  <si>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</si>
  <si>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</si>
  <si>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</si>
  <si>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</si>
  <si>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</si>
  <si>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</si>
  <si>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</si>
  <si>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</si>
  <si>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</si>
  <si>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</si>
  <si>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</si>
  <si>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</si>
  <si>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</si>
  <si>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</si>
  <si>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</si>
  <si>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</si>
  <si>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</si>
  <si>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</si>
  <si>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</si>
  <si>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</si>
  <si>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</si>
  <si>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</si>
  <si>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</si>
  <si>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</si>
  <si>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</si>
  <si>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</si>
  <si>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</si>
  <si>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</si>
  <si>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</si>
  <si>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</si>
  <si>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</si>
  <si>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</si>
  <si>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</si>
  <si>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</si>
  <si>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</si>
  <si>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</si>
  <si>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</si>
  <si>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</si>
  <si>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</si>
  <si>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</si>
  <si>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</si>
  <si>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</si>
  <si>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</si>
  <si>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</si>
  <si>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</si>
  <si>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</si>
  <si>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</si>
  <si>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</si>
  <si>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</si>
  <si>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</si>
  <si>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</si>
  <si>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</si>
  <si>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</si>
  <si>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</si>
  <si>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</si>
  <si>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</si>
  <si>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</si>
  <si>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</si>
  <si>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</si>
  <si>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</si>
  <si>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</si>
  <si>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</si>
  <si>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</si>
  <si>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</si>
  <si>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</si>
  <si>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</si>
  <si>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</si>
  <si>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</si>
  <si>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</si>
  <si>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</si>
  <si>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</si>
  <si>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</si>
  <si>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</si>
  <si>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</si>
  <si>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</si>
  <si>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</si>
  <si>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</si>
  <si>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</si>
  <si>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</si>
  <si>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</si>
  <si>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</si>
  <si>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</si>
  <si>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</si>
  <si>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</si>
  <si>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</si>
  <si>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</si>
  <si>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</si>
  <si>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</si>
  <si>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</si>
  <si>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</si>
  <si>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</si>
  <si>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</si>
  <si>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</si>
  <si>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</si>
  <si>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</si>
  <si>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</si>
  <si>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</si>
  <si>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</si>
  <si>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</si>
  <si>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</si>
  <si>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</si>
  <si>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</si>
  <si>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</si>
  <si>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</si>
  <si>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</si>
  <si>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</si>
  <si>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</si>
  <si>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</si>
  <si>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</si>
  <si>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</si>
  <si>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</si>
  <si>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</si>
  <si>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</si>
  <si>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</si>
  <si>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</si>
  <si>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</si>
  <si>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</si>
  <si>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</si>
  <si>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</si>
  <si>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</si>
  <si>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</si>
  <si>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</si>
  <si>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</si>
  <si>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</si>
  <si>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</si>
  <si>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</si>
  <si>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</si>
  <si>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</si>
  <si>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</si>
  <si>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</si>
  <si>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</si>
  <si>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</si>
  <si>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</si>
  <si>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</si>
  <si>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</si>
  <si>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</si>
  <si>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</si>
  <si>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</si>
  <si>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</si>
  <si>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</si>
  <si>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</si>
  <si>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</si>
  <si>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</si>
  <si>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</si>
  <si>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</si>
  <si>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</si>
  <si>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</si>
  <si>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</si>
  <si>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</si>
  <si>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</si>
  <si>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</si>
  <si>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</si>
  <si>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</si>
  <si>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</si>
  <si>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</si>
  <si>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</si>
  <si>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</si>
  <si>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</si>
  <si>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</si>
  <si>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</si>
  <si>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</si>
  <si>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</si>
  <si>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</si>
  <si>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</si>
  <si>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</si>
  <si>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</si>
  <si>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</si>
  <si>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</si>
  <si>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</si>
  <si>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</si>
  <si>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</si>
  <si>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</si>
  <si>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</si>
  <si>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</si>
  <si>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</si>
  <si>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</si>
  <si>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</si>
  <si>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</si>
  <si>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</si>
  <si>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</si>
  <si>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</si>
  <si>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</si>
  <si>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</si>
  <si>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</si>
  <si>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</si>
  <si>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</si>
  <si>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</si>
  <si>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</si>
  <si>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</si>
  <si>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</si>
  <si>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</si>
  <si>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</si>
  <si>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</si>
  <si>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</si>
  <si>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</si>
  <si>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</si>
  <si>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</si>
  <si>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</si>
  <si>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</si>
  <si>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</si>
  <si>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</si>
  <si>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</si>
  <si>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</si>
  <si>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</si>
  <si>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</si>
  <si>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</si>
  <si>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</si>
  <si>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</si>
  <si>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</si>
  <si>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</si>
  <si>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</si>
  <si>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</si>
  <si>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</si>
  <si>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</si>
  <si>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</si>
  <si>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</si>
  <si>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</si>
  <si>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</si>
  <si>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</si>
  <si>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</si>
  <si>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</si>
  <si>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</si>
  <si>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</si>
  <si>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</si>
  <si>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</si>
  <si>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</si>
  <si>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</si>
  <si>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</si>
  <si>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</si>
  <si>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</si>
  <si>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</si>
  <si>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</si>
  <si>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</si>
  <si>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</si>
  <si>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</si>
  <si>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</si>
  <si>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</si>
  <si>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</si>
  <si>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</si>
  <si>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</si>
  <si>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</si>
  <si>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</si>
  <si>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</si>
  <si>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</si>
  <si>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</si>
  <si>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</si>
  <si>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</si>
  <si>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</si>
  <si>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</si>
  <si>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</si>
  <si>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</si>
  <si>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</si>
  <si>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</si>
  <si>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</si>
  <si>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</si>
  <si>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</si>
  <si>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</si>
  <si>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</si>
  <si>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</si>
  <si>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</si>
  <si>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</si>
  <si>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</si>
  <si>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</si>
  <si>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</si>
  <si>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</si>
  <si>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</si>
  <si>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</si>
  <si>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</si>
  <si>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</si>
  <si>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</si>
  <si>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</si>
  <si>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</si>
  <si>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</si>
  <si>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</si>
  <si>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</si>
  <si>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</si>
  <si>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</si>
  <si>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</si>
  <si>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</si>
  <si>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</si>
  <si>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</si>
  <si>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</si>
  <si>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</si>
  <si>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</si>
  <si>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</si>
  <si>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</si>
  <si>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</si>
  <si>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</si>
  <si>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</si>
  <si>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</si>
  <si>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</si>
  <si>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</si>
  <si>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</si>
  <si>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</si>
  <si>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</si>
  <si>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</si>
  <si>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</si>
  <si>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</si>
  <si>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</si>
  <si>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</si>
  <si>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</si>
  <si>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</si>
  <si>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</si>
  <si>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</si>
  <si>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</si>
  <si>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</si>
  <si>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</si>
  <si>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</si>
  <si>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</si>
  <si>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</si>
  <si>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</si>
  <si>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</si>
  <si>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</si>
  <si>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</si>
  <si>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</si>
  <si>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</si>
  <si>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</si>
  <si>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</si>
  <si>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</si>
  <si>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</si>
  <si>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</si>
  <si>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</si>
  <si>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</si>
  <si>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</si>
  <si>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</si>
  <si>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</si>
  <si>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</si>
  <si>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</si>
  <si>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</si>
  <si>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</si>
  <si>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</si>
  <si>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</si>
  <si>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</si>
  <si>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</si>
  <si>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</si>
  <si>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</si>
  <si>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</si>
  <si>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</si>
  <si>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</si>
  <si>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</si>
  <si>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</si>
  <si>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</si>
  <si>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</si>
  <si>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</si>
  <si>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</si>
  <si>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</si>
  <si>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</si>
  <si>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</si>
  <si>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</si>
  <si>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</si>
  <si>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</si>
  <si>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</si>
  <si>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</si>
  <si>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</si>
  <si>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</si>
  <si>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</si>
  <si>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</si>
  <si>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</si>
  <si>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</si>
  <si>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</si>
  <si>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</si>
  <si>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</si>
  <si>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</si>
  <si>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</si>
  <si>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</si>
  <si>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</si>
  <si>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</si>
  <si>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</si>
  <si>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</si>
  <si>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</si>
  <si>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</si>
  <si>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</si>
  <si>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</si>
  <si>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</si>
  <si>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</si>
  <si>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</si>
  <si>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</si>
  <si>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</si>
  <si>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</si>
  <si>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</si>
  <si>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</si>
  <si>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</si>
  <si>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</si>
  <si>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</si>
  <si>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</si>
  <si>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</si>
  <si>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</si>
  <si>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</si>
  <si>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</si>
  <si>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</si>
  <si>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</si>
  <si>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</si>
  <si>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</si>
  <si>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</si>
  <si>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</si>
  <si>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</si>
  <si>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</si>
  <si>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</si>
  <si>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</si>
  <si>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</si>
  <si>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</si>
  <si>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</si>
  <si>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</si>
  <si>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</si>
  <si>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</si>
  <si>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</si>
  <si>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</si>
  <si>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</si>
  <si>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</si>
  <si>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</si>
  <si>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</si>
  <si>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</si>
  <si>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</si>
  <si>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</si>
  <si>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</si>
  <si>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</si>
  <si>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</si>
  <si>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</si>
  <si>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</si>
  <si>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</si>
  <si>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</si>
  <si>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</si>
  <si>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</si>
  <si>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</si>
  <si>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</si>
  <si>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</si>
  <si>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</si>
  <si>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</si>
  <si>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</si>
  <si>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</si>
  <si>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</si>
  <si>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</si>
  <si>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</si>
  <si>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</si>
  <si>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</si>
  <si>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</si>
  <si>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</si>
  <si>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</si>
  <si>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</si>
  <si>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</si>
  <si>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Brings in charges, volumes and revenues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</si>
  <si>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</si>
  <si>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</si>
  <si>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</si>
  <si>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</si>
  <si>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</si>
  <si>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</si>
  <si>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</si>
  <si>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</si>
  <si>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Paragraph 92</t>
  </si>
  <si>
    <t>Adder calculation</t>
  </si>
  <si>
    <t xml:space="preserve">This section calculates a "fixed adder" to unit rate charges for demand users that would equalise </t>
  </si>
  <si>
    <t xml:space="preserve">expected and allowed net revenue. This section includes a simple algorithm to account for </t>
  </si>
  <si>
    <t>the requirement that demand customers should not have negative unit rates.</t>
  </si>
  <si>
    <t>Adder value at which the non-negative demand charge constraint is breached</t>
  </si>
  <si>
    <t xml:space="preserve">Negative unit rates are not permitted for demand customers. This table calculates the lowest value </t>
  </si>
  <si>
    <t xml:space="preserve">a fixed adder could take before this constraint binds (for each unit rate and customer category). This is </t>
  </si>
  <si>
    <t xml:space="preserve">the negative of each pre-matching charge. </t>
  </si>
  <si>
    <t>Unit rate 1 - Adder threshold</t>
  </si>
  <si>
    <t>Unit rate 2 - Adder threshold</t>
  </si>
  <si>
    <t>Unit rate 3 - Adder threshold</t>
  </si>
  <si>
    <t>Expected units to be charged</t>
  </si>
  <si>
    <t xml:space="preserve">Calculates the effect on expected net revenue from the addition of a 1 p/kWh fixed adder to each unit </t>
  </si>
  <si>
    <t xml:space="preserve">rate charge for each customer category - driven by the units of energy each customer category is expected </t>
  </si>
  <si>
    <t>to use.</t>
  </si>
  <si>
    <t>Unit rate 1 - expected units to be charged</t>
  </si>
  <si>
    <t>Unit rate 2 - expected units to be charged</t>
  </si>
  <si>
    <t>Unit rate 3 - expected units to be charged</t>
  </si>
  <si>
    <t>Unconstrained adder solution (i.e. unit rates for demand can be negative)</t>
  </si>
  <si>
    <t>Paragraph 93</t>
  </si>
  <si>
    <t xml:space="preserve">Calculates the value of fixed adder that would equalise expected and allowed net revenue if it was </t>
  </si>
  <si>
    <t xml:space="preserve">unconstrained by the requirement that demand charges be non-negative. In some cases, the constraints </t>
  </si>
  <si>
    <t xml:space="preserve">will not bind, and this equal the constrained solution. </t>
  </si>
  <si>
    <t>Constraint-free adder solution</t>
  </si>
  <si>
    <t xml:space="preserve">This algorithm only affects the adder solution if pre-match net revenue exceeds target net revenue, in </t>
  </si>
  <si>
    <t xml:space="preserve">which case the unconstrained adder solution will be negative and the non-negative adder constraint may </t>
  </si>
  <si>
    <t xml:space="preserve">bind. If this is not the case the following steps can be ignored. </t>
  </si>
  <si>
    <t xml:space="preserve">Step 1 - Arrange all unit rate : customer category pre-match charges (and expected units to be charged) </t>
  </si>
  <si>
    <t xml:space="preserve">onto a single row. </t>
  </si>
  <si>
    <t xml:space="preserve">Unit rate_customer category (arbitrary order)&gt;&gt; </t>
  </si>
  <si>
    <t>Unit rate 1 p/kWh_LV Network Domestic</t>
  </si>
  <si>
    <t>Unit rate 1 p/kWh_LV Network Non-Domestic Non-CT</t>
  </si>
  <si>
    <t>Unit rate 1 p/kWh_LV HH Metered</t>
  </si>
  <si>
    <t>Unit rate 1 p/kWh_LV Sub HH Metered</t>
  </si>
  <si>
    <t>Unit rate 1 p/kWh_HV HH Metered</t>
  </si>
  <si>
    <t>Unit rate 1 p/kWh_LV UMS (Pseudo HH Metered)</t>
  </si>
  <si>
    <t>Unit rate 1 p/kWh_LV Generation NHH or Aggregate HH</t>
  </si>
  <si>
    <t>Unit rate 1 p/kWh_LV Sub Generation NHH</t>
  </si>
  <si>
    <t>Unit rate 1 p/kWh_LV Generation Non-Intermittent</t>
  </si>
  <si>
    <t>Unit rate 1 p/kWh_LV Generation Non-Intermittent no RP charge</t>
  </si>
  <si>
    <t>Unit rate 1 p/kWh_LV Sub Generation Non-Intermittent</t>
  </si>
  <si>
    <t>Unit rate 1 p/kWh_LV Sub Generation Non-Intermittent no RP charge</t>
  </si>
  <si>
    <t>Unit rate 1 p/kWh_HV Generation Non-Intermittent</t>
  </si>
  <si>
    <t>Unit rate 1 p/kWh_HV Generation Non-Intermittent no RP charge</t>
  </si>
  <si>
    <t>Unit rate 2 p/kWh_Domestic Unrestricted</t>
  </si>
  <si>
    <t>Unit rate 2 p/kWh_Domestic Two Rate</t>
  </si>
  <si>
    <t>Unit rate 2 p/kWh_Domestic Off Peak (related MPAN)</t>
  </si>
  <si>
    <t>Unit rate 2 p/kWh_Small Non Domestic Unrestricted</t>
  </si>
  <si>
    <t>Unit rate 2 p/kWh_Small Non Domestic Two Rate</t>
  </si>
  <si>
    <t>Unit rate 2 p/kWh_Small Non Domestic Off Peak (related MPAN)</t>
  </si>
  <si>
    <t>Unit rate 2 p/kWh_LV Medium Non-Domestic</t>
  </si>
  <si>
    <t>Unit rate 2 p/kWh_LV Sub Medium Non-Domestic</t>
  </si>
  <si>
    <t>Unit rate 2 p/kWh_HV Medium Non-Domestic</t>
  </si>
  <si>
    <t>Unit rate 2 p/kWh_LV Network Domestic</t>
  </si>
  <si>
    <t>Unit rate 2 p/kWh_LV Network Non-Domestic Non-CT</t>
  </si>
  <si>
    <t>Unit rate 2 p/kWh_LV HH Metered</t>
  </si>
  <si>
    <t>Unit rate 2 p/kWh_LV Sub HH Metered</t>
  </si>
  <si>
    <t>Unit rate 2 p/kWh_HV HH Metered</t>
  </si>
  <si>
    <t>Unit rate 2 p/kWh_NHH UMS category A</t>
  </si>
  <si>
    <t>Unit rate 2 p/kWh_NHH UMS category B</t>
  </si>
  <si>
    <t>Unit rate 2 p/kWh_NHH UMS category C</t>
  </si>
  <si>
    <t>Unit rate 2 p/kWh_NHH UMS category D</t>
  </si>
  <si>
    <t>Unit rate 2 p/kWh_LV UMS (Pseudo HH Metered)</t>
  </si>
  <si>
    <t>Unit rate 2 p/kWh_LV Generation NHH or Aggregate HH</t>
  </si>
  <si>
    <t>Unit rate 2 p/kWh_LV Sub Generation NHH</t>
  </si>
  <si>
    <t>Unit rate 2 p/kWh_LV Generation Intermittent</t>
  </si>
  <si>
    <t>Unit rate 2 p/kWh_LV Generation Intermittent no RP charge</t>
  </si>
  <si>
    <t>Unit rate 2 p/kWh_LV Generation Non-Intermittent</t>
  </si>
  <si>
    <t>Unit rate 2 p/kWh_LV Generation Non-Intermittent no RP charge</t>
  </si>
  <si>
    <t>Unit rate 2 p/kWh_LV Sub Generation Intermittent</t>
  </si>
  <si>
    <t>Unit rate 2 p/kWh_LV Sub Generation Intermittent no RP charge</t>
  </si>
  <si>
    <t>Unit rate 2 p/kWh_LV Sub Generation Non-Intermittent</t>
  </si>
  <si>
    <t>Unit rate 2 p/kWh_LV Sub Generation Non-Intermittent no RP charge</t>
  </si>
  <si>
    <t>Unit rate 2 p/kWh_HV Generation Intermittent</t>
  </si>
  <si>
    <t>Unit rate 2 p/kWh_HV Generation Intermittent no RP charge</t>
  </si>
  <si>
    <t>Unit rate 2 p/kWh_HV Generation Non-Intermittent</t>
  </si>
  <si>
    <t>Combined - Adder threshold</t>
  </si>
  <si>
    <t>Combined - expected units to be charged</t>
  </si>
  <si>
    <t xml:space="preserve">Step 2 - Rank the unit rate : customer category pre-match charges by their adder threshold values - from </t>
  </si>
  <si>
    <t xml:space="preserve">lowest to highest. </t>
  </si>
  <si>
    <t>Adder thresholds ranked from lowest (1) to highest (99)</t>
  </si>
  <si>
    <t>Tie-breaker between equal threshold rates</t>
  </si>
  <si>
    <t>Adder thresholds ranked from lowest (1) to highest (99), post tie-breaker</t>
  </si>
  <si>
    <t xml:space="preserve">Step 3 - Reorder adder thresholds (and their respective numbers of units to be charged) by rank. Identify </t>
  </si>
  <si>
    <t xml:space="preserve">the value at which the fixed adder would equalise expected and allowed net revenue. </t>
  </si>
  <si>
    <t>Rank&gt;&gt;</t>
  </si>
  <si>
    <t>Starting point</t>
  </si>
  <si>
    <t>Reordered adder threshold values for each tariff / unit rate (lowest to highest)</t>
  </si>
  <si>
    <t>Cumulative units, aggregating across tariff / unit rates from lowest to highest adder threshold.</t>
  </si>
  <si>
    <t>Unscaleable net revenue</t>
  </si>
  <si>
    <t>Scaleable net revenue, for a given (threshold) adder value</t>
  </si>
  <si>
    <t>Total net revenue, for a given (threshold) adder value</t>
  </si>
  <si>
    <t>Exact constrained adder value at which expected net revenue = allowed net revenue</t>
  </si>
  <si>
    <t>Constrained adder solution</t>
  </si>
  <si>
    <t>Paragraph 94</t>
  </si>
  <si>
    <t xml:space="preserve">Shows the adder value that would equalise expected and allowed net revenue, subject to the constraint </t>
  </si>
  <si>
    <t>that demand charges be non-negative. The solution is selected from the last row of the table above.</t>
  </si>
  <si>
    <t xml:space="preserve">This section presents the amount by which unit charges for demand users will be raised or lowered </t>
  </si>
  <si>
    <t xml:space="preserve">to equalise expected and allowed revenue, subject to the constraint that demand charges are non-negative. </t>
  </si>
  <si>
    <t>Adder to be applied to unit rates</t>
  </si>
  <si>
    <t>Allocates an adder to each unit rate and customer type which will equalise expected and allowed revenue,</t>
  </si>
  <si>
    <t xml:space="preserve"> subject to the constraint that demand charges be non-negative. Adders are applied for demand users only.</t>
  </si>
  <si>
    <t>Adder on Unit rate 1</t>
  </si>
  <si>
    <t>Adder on Unit rate 2</t>
  </si>
  <si>
    <t>Adder on Unit rate 3</t>
  </si>
  <si>
    <t xml:space="preserve">Check that adder constraint is compatible with revenue matching </t>
  </si>
  <si>
    <t>Total revenue check</t>
  </si>
  <si>
    <t>Summary of error checks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</si>
  <si>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</si>
  <si>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</si>
  <si>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</si>
  <si>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</si>
  <si>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</si>
  <si>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</si>
  <si>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Adder calculated in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</si>
  <si>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</si>
  <si>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</si>
  <si>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</si>
  <si>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</si>
  <si>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</si>
  <si>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</si>
  <si>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</si>
  <si>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</si>
  <si>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</si>
  <si>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</si>
  <si>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</si>
  <si>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</si>
  <si>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</si>
  <si>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</si>
  <si>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</si>
  <si>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</si>
  <si>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</si>
  <si>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</si>
  <si>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</si>
  <si>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</si>
  <si>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</si>
  <si>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</si>
  <si>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</si>
  <si>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</si>
  <si>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</si>
  <si>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</si>
  <si>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</si>
  <si>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</si>
  <si>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</si>
  <si>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</si>
  <si>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</si>
  <si>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</si>
  <si>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</si>
  <si>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</si>
  <si>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</si>
  <si>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</si>
  <si>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</si>
  <si>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</si>
  <si>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</si>
  <si>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</si>
  <si>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</si>
  <si>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</si>
  <si>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</si>
  <si>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</si>
  <si>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</si>
  <si>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</si>
  <si>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</si>
  <si>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</si>
  <si>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</si>
  <si>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</si>
  <si>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</si>
  <si>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</si>
  <si>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</si>
  <si>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</si>
  <si>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</si>
  <si>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</si>
  <si>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</si>
  <si>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</si>
  <si>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</si>
  <si>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</si>
  <si>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</si>
  <si>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</si>
  <si>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</si>
  <si>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</si>
  <si>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</si>
  <si>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</si>
  <si>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</si>
  <si>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</si>
  <si>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</si>
  <si>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</si>
  <si>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</si>
  <si>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</si>
  <si>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</si>
  <si>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</si>
  <si>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</si>
  <si>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</si>
  <si>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</si>
  <si>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</si>
  <si>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</si>
  <si>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</si>
  <si>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</si>
  <si>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</si>
  <si>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</si>
  <si>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</si>
  <si>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</si>
  <si>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</si>
  <si>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</si>
  <si>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</si>
  <si>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</si>
  <si>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</si>
  <si>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</si>
  <si>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</si>
  <si>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</si>
  <si>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</si>
  <si>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</si>
  <si>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</si>
  <si>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</si>
  <si>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Unit rate 1 p/kWh_Domestic Aggregated</t>
  </si>
  <si>
    <t>Unit rate 1 p/kWh_Domestic Aggregated (Related MPAN)</t>
  </si>
  <si>
    <t>Unit rate 1 p/kWh_Non-Domestic Aggregated</t>
  </si>
  <si>
    <t>Unit rate 1 p/kWh_Non-Domestic Aggregated (Related MPAN)</t>
  </si>
  <si>
    <t>Unit rate 1 p/kWh_LV Site Specific</t>
  </si>
  <si>
    <t>Unit rate 1 p/kWh_LV Sub Site Specific</t>
  </si>
  <si>
    <t>Unit rate 1 p/kWh_HV Site Specific</t>
  </si>
  <si>
    <t>Unit rate 1 p/kWh_Unmetered Supplies</t>
  </si>
  <si>
    <t>Unit rate 1 p/kWh_LV Generation Aggregated</t>
  </si>
  <si>
    <t>Unit rate 1 p/kWh_LV Sub Generation Aggregated</t>
  </si>
  <si>
    <t>Unit rate 1 p/kWh_LV Generation Site Specific</t>
  </si>
  <si>
    <t>Unit rate 1 p/kWh_LV Generation Site Specific no RP Charge</t>
  </si>
  <si>
    <t>Unit rate 1 p/kWh_LV Sub Generation Site Specific</t>
  </si>
  <si>
    <t>Unit rate 1 p/kWh_LV Sub Generation Site Specific no RP Charge</t>
  </si>
  <si>
    <t>Unit rate 1 p/kWh_HV Generation Site Specific</t>
  </si>
  <si>
    <t>Unit rate 1 p/kWh_HV Generation Site Specific no RP Charge</t>
  </si>
  <si>
    <t>Unit rate 2 p/kWh_Domestic Aggregated</t>
  </si>
  <si>
    <t>Unit rate 2 p/kWh_Domestic Aggregated (Related MPAN)</t>
  </si>
  <si>
    <t>Unit rate 2 p/kWh_Non-Domestic Aggregated</t>
  </si>
  <si>
    <t>Unit rate 2 p/kWh_Non-Domestic Aggregated (Related MPAN)</t>
  </si>
  <si>
    <t>Unit rate 2 p/kWh_LV Site Specific</t>
  </si>
  <si>
    <t>Unit rate 2 p/kWh_LV Sub Site Specific</t>
  </si>
  <si>
    <t>Unit rate 2 p/kWh_HV Site Specific</t>
  </si>
  <si>
    <t>Unit rate 2 p/kWh_Unmetered Supplies</t>
  </si>
  <si>
    <t>Unit rate 2 p/kWh_LV Generation Aggregated</t>
  </si>
  <si>
    <t>Unit rate 2 p/kWh_LV Sub Generation Aggregated</t>
  </si>
  <si>
    <t>Unit rate 2 p/kWh_LV Generation Site Specific</t>
  </si>
  <si>
    <t>Unit rate 2 p/kWh_LV Generation Site Specific no RP Charge</t>
  </si>
  <si>
    <t>Unit rate 2 p/kWh_LV Sub Generation Site Specific</t>
  </si>
  <si>
    <t>Unit rate 2 p/kWh_LV Sub Generation Site Specific no RP Charge</t>
  </si>
  <si>
    <t>Unit rate 2 p/kWh_HV Generation Site Specific</t>
  </si>
  <si>
    <t>Unit rate 2 p/kWh_HV Generation Site Specific no RP Charge</t>
  </si>
  <si>
    <t>Unit rate 3 p/kWh_Domestic Aggregated</t>
  </si>
  <si>
    <t>Unit rate 3 p/kWh_Domestic Aggregated (Related MPAN)</t>
  </si>
  <si>
    <t>Unit rate 3 p/kWh_Non-Domestic Aggregated</t>
  </si>
  <si>
    <t>Unit rate 3 p/kWh_Non-Domestic Aggregated (Related MPAN)</t>
  </si>
  <si>
    <t>Unit rate 3 p/kWh_LV Site Specific</t>
  </si>
  <si>
    <t>Unit rate 3 p/kWh_LV Sub Site Specific</t>
  </si>
  <si>
    <t>Unit rate 3 p/kWh_HV Site Specific</t>
  </si>
  <si>
    <t>Unit rate 3 p/kWh_Unmetered Supplies</t>
  </si>
  <si>
    <t>Unit rate 3 p/kWh_LV Generation Aggregated</t>
  </si>
  <si>
    <t>Unit rate 3 p/kWh_LV Sub Generation Aggregated</t>
  </si>
  <si>
    <t>Unit rate 3 p/kWh_LV Generation Site Specific</t>
  </si>
  <si>
    <t>Unit rate 3 p/kWh_LV Generation Site Specific no RP Charge</t>
  </si>
  <si>
    <t>Unit rate 3 p/kWh_LV Sub Generation Site Specific</t>
  </si>
  <si>
    <t>Unit rate 3 p/kWh_LV Sub Generation Site Specific no RP Charge</t>
  </si>
  <si>
    <t>Unit rate 3 p/kWh_HV Generation Site Specific</t>
  </si>
  <si>
    <t>Unit rate 3 p/kWh_HV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</si>
  <si>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</si>
  <si>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</si>
  <si>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</si>
  <si>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</si>
  <si>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</si>
  <si>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</si>
  <si>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</si>
  <si>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</si>
  <si>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</si>
  <si>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</si>
  <si>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</si>
  <si>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</si>
  <si>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Unless stated otherwise, this workbook is only a prototype for testing purposes and all the data in this model are for illustration only. Neither the authors nor Cambridge Economic Policy Associates/TNEI accept or assume any responsibility or duty of care to any third party.</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</si>
  <si>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</si>
  <si>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</si>
  <si>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</si>
  <si>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</si>
  <si>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</si>
  <si>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</si>
  <si>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</si>
  <si>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</si>
  <si>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</si>
  <si>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</si>
  <si>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</si>
  <si>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</si>
  <si>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</si>
  <si>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</si>
  <si>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</si>
  <si>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</si>
  <si>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</si>
  <si>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</si>
  <si>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</si>
  <si>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</si>
  <si>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</si>
  <si>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</si>
  <si>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</si>
  <si>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</si>
  <si>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</si>
  <si>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</si>
  <si>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</si>
  <si>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</si>
  <si>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</si>
  <si>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Fixed charge adder</t>
  </si>
  <si>
    <t>Section 118</t>
  </si>
  <si>
    <t>'Designated Property' MPANs with EDCM-level LDNO boundaries</t>
  </si>
  <si>
    <t>Target CDCM net revenue, less applicable pass-through costs</t>
  </si>
  <si>
    <t>Adder to be applied to fixed charge</t>
  </si>
  <si>
    <t>Adder calculated in allocated costs</t>
  </si>
  <si>
    <t>All the way tariff forecast, post-adders &amp; discounting</t>
  </si>
  <si>
    <t>LDNO LV tariff forecast, post-adders &amp; discounting</t>
  </si>
  <si>
    <t>LDNO HV tariff forecast, post-adders &amp; discounting</t>
  </si>
  <si>
    <t>Net revenue from unit rate adder</t>
  </si>
  <si>
    <t>Net revenue from fixed rate adder, CDCM</t>
  </si>
  <si>
    <t>Net revenue from fixed rate adder, EDCM</t>
  </si>
  <si>
    <t>Fixed charge adders</t>
  </si>
  <si>
    <t>2021/22</t>
  </si>
  <si>
    <t>Expected revenue from unit rate adder, by tariff (pre-rounding)</t>
  </si>
  <si>
    <t>Total expected revenue from unit rate adder, post scaling (pre-rounding)</t>
  </si>
  <si>
    <t>Release for 2021/22 charge setting</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</si>
  <si>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</si>
  <si>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</si>
  <si>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</si>
  <si>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</si>
  <si>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</si>
  <si>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</si>
  <si>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</si>
  <si>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</si>
  <si>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</si>
  <si>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</si>
  <si>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</si>
  <si>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 xml:space="preserve">SHEPD </t>
  </si>
  <si>
    <t xml:space="preserve">Final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</si>
</sst>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21">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345">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8"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7"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49" fontId="1" fillId="3" borderId="0" xfId="0" applyNumberFormat="1" applyFont="1" applyFill="1" applyAlignment="1">
      <alignment horizontal="left" vertical="center"/>
    </xf>
    <xf numFmtId="49" fontId="1" fillId="3" borderId="0" xfId="0" applyNumberFormat="1" applyFont="1" applyFill="1" applyAlignment="1">
      <alignment horizontal="right" vertical="center"/>
    </xf>
    <xf numFmtId="175" fontId="8" fillId="0" borderId="15" xfId="60" applyNumberFormat="1" applyBorder="1" applyAlignment="1"/>
    <xf numFmtId="3" fontId="1" fillId="3" borderId="0" xfId="0" applyNumberFormat="1" applyFont="1" applyFill="1" applyAlignment="1">
      <alignment horizontal="right" vertical="center"/>
    </xf>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8" fillId="2" borderId="2" xfId="51" applyNumberFormat="1" applyBorder="1" applyProtection="1">
      <protection locked="0"/>
    </xf>
    <xf numFmtId="176" fontId="0" fillId="0" borderId="0" xfId="0" applyNumberFormat="1"/>
    <xf numFmtId="176" fontId="8" fillId="4" borderId="0" xfId="55" applyNumberFormat="1">
      <alignment vertical="top"/>
    </xf>
    <xf numFmtId="176" fontId="8" fillId="2" borderId="0" xfId="51" applyNumberFormat="1" applyProtection="1">
      <protection locked="0"/>
    </xf>
    <xf numFmtId="176" fontId="8" fillId="2" borderId="0" xfId="51" applyNumberFormat="1" applyAlignment="1" applyProtection="1">
      <alignment vertical="top"/>
      <protection locked="0"/>
    </xf>
    <xf numFmtId="176" fontId="0" fillId="0" borderId="3" xfId="0" applyNumberFormat="1" applyBorder="1"/>
    <xf numFmtId="176" fontId="8" fillId="4" borderId="3" xfId="55" applyNumberFormat="1" applyBorder="1">
      <alignment vertical="top"/>
    </xf>
    <xf numFmtId="176" fontId="8" fillId="2" borderId="3" xfId="51" applyNumberFormat="1" applyBorder="1" applyProtection="1">
      <protection locked="0"/>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0" fillId="0" borderId="15" xfId="0" applyNumberFormat="1" applyBorder="1"/>
    <xf numFmtId="176" fontId="8" fillId="0" borderId="16" xfId="60" applyNumberFormat="1" applyBorder="1" applyAlignment="1"/>
    <xf numFmtId="176" fontId="8" fillId="39" borderId="2" xfId="65" applyNumberFormat="1" applyFont="1" applyBorder="1"/>
    <xf numFmtId="176" fontId="8" fillId="39" borderId="0" xfId="65" applyNumberFormat="1" applyFont="1"/>
    <xf numFmtId="176" fontId="8" fillId="39" borderId="3" xfId="65" applyNumberFormat="1" applyFont="1" applyBorder="1"/>
    <xf numFmtId="0" fontId="1" fillId="3" borderId="19" xfId="1" applyNumberFormat="1" applyBorder="1" applyAlignment="1"/>
    <xf numFmtId="0" fontId="26" fillId="44" borderId="0" xfId="54" quotePrefix="1" applyFill="1"/>
    <xf numFmtId="0" fontId="26" fillId="44" borderId="20" xfId="54" quotePrefix="1" applyFill="1" applyBorder="1"/>
    <xf numFmtId="0" fontId="26" fillId="45" borderId="0" xfId="54" quotePrefix="1" applyFill="1"/>
    <xf numFmtId="0" fontId="26" fillId="45" borderId="20" xfId="54" quotePrefix="1" applyFill="1" applyBorder="1"/>
    <xf numFmtId="0" fontId="26" fillId="37" borderId="0" xfId="54" quotePrefix="1" applyFill="1"/>
    <xf numFmtId="0" fontId="26" fillId="37" borderId="20" xfId="54" quotePrefix="1" applyFill="1" applyBorder="1"/>
    <xf numFmtId="0" fontId="26" fillId="46" borderId="0" xfId="54" quotePrefix="1" applyFill="1"/>
    <xf numFmtId="0" fontId="26" fillId="46" borderId="20"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76" fontId="8" fillId="39" borderId="4" xfId="65" applyNumberFormat="1" applyFont="1" applyBorder="1"/>
    <xf numFmtId="9" fontId="8" fillId="39" borderId="4" xfId="65" applyNumberFormat="1" applyFon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35" fillId="0" borderId="0" xfId="52"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xr:uid="{00000000-0005-0000-0000-000018000000}"/>
    <cellStyle name="Bad" xfId="61" builtinId="27" hidden="1"/>
    <cellStyle name="Bad" xfId="13" builtinId="27" hidden="1"/>
    <cellStyle name="Blank_CEPATNEI" xfId="55" xr:uid="{00000000-0005-0000-0000-00001B000000}"/>
    <cellStyle name="Calculation" xfId="17" builtinId="22" hidden="1"/>
    <cellStyle name="Calculation_CEPATNEI" xfId="60" xr:uid="{00000000-0005-0000-0000-00001D000000}"/>
    <cellStyle name="Check Cell" xfId="19" builtinId="23" hidden="1"/>
    <cellStyle name="ColumnHeading_CEPATNEI" xfId="1" xr:uid="{00000000-0005-0000-0000-00001F000000}"/>
    <cellStyle name="Comma" xfId="57" builtinId="3" hidden="1"/>
    <cellStyle name="Comma" xfId="2" builtinId="3" hidden="1"/>
    <cellStyle name="Comma [0]" xfId="3" builtinId="6" hidden="1"/>
    <cellStyle name="Currency" xfId="4" builtinId="4" hidden="1"/>
    <cellStyle name="Currency [0]" xfId="5" builtinId="7" hidden="1"/>
    <cellStyle name="EmptyCell_CEPATNEI" xfId="64" xr:uid="{00000000-0005-0000-0000-000025000000}"/>
    <cellStyle name="Explanatory Text" xfId="22" builtinId="53" hidden="1"/>
    <cellStyle name="Fixed_CEPATNEI" xfId="59" xr:uid="{00000000-0005-0000-0000-000027000000}"/>
    <cellStyle name="Followed Hyperlink 2" xfId="67" xr:uid="{00000000-0005-0000-0000-000028000000}"/>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xr:uid="{00000000-0005-0000-0000-00002F000000}"/>
    <cellStyle name="Input" xfId="15" builtinId="20" hidden="1"/>
    <cellStyle name="Input_CEPATNEI" xfId="51" xr:uid="{00000000-0005-0000-0000-000031000000}"/>
    <cellStyle name="Linked Cell" xfId="18" builtinId="24" hidden="1"/>
    <cellStyle name="LinkedTo_CEPATNEI" xfId="52" xr:uid="{00000000-0005-0000-0000-000033000000}"/>
    <cellStyle name="LinksFrom_CEPATNEI" xfId="56" xr:uid="{00000000-0005-0000-0000-000034000000}"/>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xr:uid="{00000000-0005-0000-0000-00003A000000}"/>
    <cellStyle name="Percent" xfId="62" builtinId="5" hidden="1"/>
    <cellStyle name="Percent" xfId="6" builtinId="5" hidden="1"/>
    <cellStyle name="RowHeading_CEPATNEI" xfId="53" xr:uid="{00000000-0005-0000-0000-00003D000000}"/>
    <cellStyle name="SectionHeading_CEPATNEI" xfId="49" xr:uid="{00000000-0005-0000-0000-00003E000000}"/>
    <cellStyle name="SubSection_CEPATNEI" xfId="48" xr:uid="{00000000-0005-0000-0000-00003F000000}"/>
    <cellStyle name="Text_CEPATNEI" xfId="50" xr:uid="{00000000-0005-0000-0000-000040000000}"/>
    <cellStyle name="Title" xfId="7" builtinId="15" hidden="1"/>
    <cellStyle name="Total" xfId="23" builtinId="25" hidden="1"/>
    <cellStyle name="Warning Text" xfId="20" builtinId="11" hidden="1"/>
  </cellStyles>
  <dxfs count="227">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576262</xdr:colOff>
      <xdr:row>3</xdr:row>
      <xdr:rowOff>25713</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701278</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39</xdr:row>
      <xdr:rowOff>24755</xdr:rowOff>
    </xdr:from>
    <xdr:to>
      <xdr:col>8</xdr:col>
      <xdr:colOff>1248669</xdr:colOff>
      <xdr:row>40</xdr:row>
      <xdr:rowOff>90187</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598614" y="7349480"/>
          <a:ext cx="1593530" cy="24640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447459</xdr:colOff>
      <xdr:row>40</xdr:row>
      <xdr:rowOff>92727</xdr:rowOff>
    </xdr:from>
    <xdr:to>
      <xdr:col>8</xdr:col>
      <xdr:colOff>449999</xdr:colOff>
      <xdr:row>41</xdr:row>
      <xdr:rowOff>96842</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78" idx="2"/>
          <a:endCxn id="87" idx="0"/>
        </xdr:cNvCxnSpPr>
      </xdr:nvCxnSpPr>
      <xdr:spPr>
        <a:xfrm flipH="1">
          <a:off x="5390934" y="7598427"/>
          <a:ext cx="2540" cy="19461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1433774</xdr:colOff>
      <xdr:row>41</xdr:row>
      <xdr:rowOff>93032</xdr:rowOff>
    </xdr:from>
    <xdr:to>
      <xdr:col>8</xdr:col>
      <xdr:colOff>1247399</xdr:colOff>
      <xdr:row>42</xdr:row>
      <xdr:rowOff>165283</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596074" y="7789232"/>
          <a:ext cx="1594800"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 adder</a:t>
          </a:r>
        </a:p>
      </xdr:txBody>
    </xdr:sp>
    <xdr:clientData/>
  </xdr:twoCellAnchor>
  <xdr:twoCellAnchor>
    <xdr:from>
      <xdr:col>8</xdr:col>
      <xdr:colOff>447459</xdr:colOff>
      <xdr:row>42</xdr:row>
      <xdr:rowOff>167823</xdr:rowOff>
    </xdr:from>
    <xdr:to>
      <xdr:col>8</xdr:col>
      <xdr:colOff>447459</xdr:colOff>
      <xdr:row>43</xdr:row>
      <xdr:rowOff>168128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87" idx="2"/>
          <a:endCxn id="79" idx="0"/>
        </xdr:cNvCxnSpPr>
      </xdr:nvCxnSpPr>
      <xdr:spPr>
        <a:xfrm>
          <a:off x="5390934" y="8054523"/>
          <a:ext cx="0" cy="19080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2:E52"/>
  <sheetViews>
    <sheetView showGridLines="0" showRowColHeaders="0" tabSelected="1" zoomScale="80" zoomScaleNormal="80" workbookViewId="0">
      <selection activeCell="D3" sqref="D3"/>
    </sheetView>
  </sheetViews>
  <sheetFormatPr defaultColWidth="0" defaultRowHeight="15" customHeight="1" x14ac:dyDescent="0.25"/>
  <cols>
    <col min="1" max="1" width="2.7109375" style="3" customWidth="1"/>
    <col min="2" max="2" width="22.7109375" style="3" customWidth="1"/>
    <col min="3" max="3" width="2.7109375" style="3" customWidth="1"/>
    <col min="4" max="4" width="100.42578125" style="4" customWidth="1"/>
    <col min="5" max="5" width="2.5703125" style="3" customWidth="1"/>
    <col min="6" max="16384" width="9.28515625" style="3" hidden="1"/>
  </cols>
  <sheetData>
    <row r="2" spans="2:4" ht="28.5" x14ac:dyDescent="0.25">
      <c r="D2" s="16" t="s">
        <v>0</v>
      </c>
    </row>
    <row r="4" spans="2:4" ht="21" x14ac:dyDescent="0.25">
      <c r="D4" s="7" t="s">
        <v>1062</v>
      </c>
    </row>
    <row r="5" spans="2:4" x14ac:dyDescent="0.25">
      <c r="D5" s="17"/>
    </row>
    <row r="6" spans="2:4" x14ac:dyDescent="0.25">
      <c r="B6" s="18" t="str">
        <f>'Version control'!F7</f>
        <v>Model date:</v>
      </c>
      <c r="D6" s="19">
        <f>'Version control'!H7</f>
        <v>43777</v>
      </c>
    </row>
    <row r="7" spans="2:4" ht="15" customHeight="1" x14ac:dyDescent="0.25">
      <c r="D7" s="20"/>
    </row>
    <row r="8" spans="2:4" ht="15" customHeight="1" x14ac:dyDescent="0.25">
      <c r="B8" s="18" t="str">
        <f>'Version control'!F9</f>
        <v>Development stage:</v>
      </c>
      <c r="D8" s="19" t="str">
        <f>'Version control'!H9</f>
        <v>Release for charge setting</v>
      </c>
    </row>
    <row r="9" spans="2:4" ht="15" customHeight="1" x14ac:dyDescent="0.25">
      <c r="D9" s="20"/>
    </row>
    <row r="10" spans="2:4" ht="15" customHeight="1" x14ac:dyDescent="0.25">
      <c r="B10" s="18" t="str">
        <f>'Version control'!F11</f>
        <v>Model number:</v>
      </c>
      <c r="D10" s="20">
        <f>'Version control'!H11</f>
        <v>5</v>
      </c>
    </row>
    <row r="11" spans="2:4" ht="15" customHeight="1" x14ac:dyDescent="0.25">
      <c r="D11" s="20"/>
    </row>
    <row r="12" spans="2:4" ht="15" customHeight="1" x14ac:dyDescent="0.25">
      <c r="B12" s="18" t="str">
        <f>'Version control'!F13</f>
        <v>DCUSA text version:</v>
      </c>
      <c r="D12" s="19" t="str">
        <f>'Version control'!H13</f>
        <v>Attachment A_01 April 2021 Charging Methodologies Pre-Release_Issued October 2019 (shared 10/10/2019)</v>
      </c>
    </row>
    <row r="13" spans="2:4" ht="15" customHeight="1" x14ac:dyDescent="0.25">
      <c r="D13" s="20"/>
    </row>
    <row r="14" spans="2:4" ht="15" customHeight="1" x14ac:dyDescent="0.25">
      <c r="B14" s="18" t="str">
        <f>'Version control'!F15</f>
        <v>DCUSA text schedule:</v>
      </c>
      <c r="D14" s="19" t="str">
        <f>'Version control'!H15</f>
        <v>Schedule 16</v>
      </c>
    </row>
    <row r="16" spans="2:4" ht="45" x14ac:dyDescent="0.25">
      <c r="B16" s="18" t="s">
        <v>1</v>
      </c>
      <c r="D16" s="8" t="s">
        <v>1016</v>
      </c>
    </row>
    <row r="17" spans="2:4" x14ac:dyDescent="0.25">
      <c r="D17" s="4" t="s">
        <v>2</v>
      </c>
    </row>
    <row r="18" spans="2:4" x14ac:dyDescent="0.25">
      <c r="D18" s="3"/>
    </row>
    <row r="19" spans="2:4" ht="15" customHeight="1" x14ac:dyDescent="0.25">
      <c r="B19" s="18" t="s">
        <v>3</v>
      </c>
      <c r="D19" s="245" t="s">
        <v>1059</v>
      </c>
    </row>
    <row r="21" spans="2:4" ht="15" customHeight="1" x14ac:dyDescent="0.25">
      <c r="B21" s="18" t="s">
        <v>4</v>
      </c>
      <c r="D21" s="245" t="s">
        <v>1074</v>
      </c>
    </row>
    <row r="23" spans="2:4" ht="15" customHeight="1" x14ac:dyDescent="0.25">
      <c r="B23" s="18" t="s">
        <v>5</v>
      </c>
      <c r="D23" s="245" t="s">
        <v>1075</v>
      </c>
    </row>
    <row r="25" spans="2:4" ht="30" customHeight="1" x14ac:dyDescent="0.25">
      <c r="B25" s="18" t="s">
        <v>6</v>
      </c>
      <c r="D25" s="245" t="s">
        <v>7</v>
      </c>
    </row>
    <row r="26" spans="2:4" ht="15" customHeight="1" x14ac:dyDescent="0.25">
      <c r="B26" s="18"/>
    </row>
    <row r="27" spans="2:4" ht="15" customHeight="1" x14ac:dyDescent="0.25">
      <c r="B27" s="18" t="s">
        <v>8</v>
      </c>
    </row>
    <row r="28" spans="2:4" customFormat="1" ht="15" customHeight="1" x14ac:dyDescent="0.25">
      <c r="B28" s="21" t="s">
        <v>9</v>
      </c>
      <c r="C28" s="1"/>
      <c r="D28" s="1" t="s">
        <v>10</v>
      </c>
    </row>
    <row r="29" spans="2:4" customFormat="1" x14ac:dyDescent="0.25">
      <c r="B29" s="22"/>
      <c r="C29" s="23"/>
      <c r="D29" s="23" t="s">
        <v>11</v>
      </c>
    </row>
    <row r="30" spans="2:4" customFormat="1" x14ac:dyDescent="0.25">
      <c r="B30" s="246" t="s">
        <v>12</v>
      </c>
      <c r="D30" t="s">
        <v>13</v>
      </c>
    </row>
    <row r="31" spans="2:4" customFormat="1" x14ac:dyDescent="0.25">
      <c r="B31" s="247" t="s">
        <v>12</v>
      </c>
      <c r="D31" t="s">
        <v>14</v>
      </c>
    </row>
    <row r="32" spans="2:4" customFormat="1" x14ac:dyDescent="0.25">
      <c r="B32" s="248" t="s">
        <v>12</v>
      </c>
      <c r="D32" t="s">
        <v>15</v>
      </c>
    </row>
    <row r="33" spans="2:4" customFormat="1" x14ac:dyDescent="0.25">
      <c r="B33" s="24" t="s">
        <v>12</v>
      </c>
      <c r="D33" t="s">
        <v>16</v>
      </c>
    </row>
    <row r="34" spans="2:4" customFormat="1" x14ac:dyDescent="0.25">
      <c r="B34" s="25" t="s">
        <v>12</v>
      </c>
      <c r="D34" t="s">
        <v>17</v>
      </c>
    </row>
    <row r="35" spans="2:4" customFormat="1" x14ac:dyDescent="0.25">
      <c r="B35" s="26" t="s">
        <v>12</v>
      </c>
      <c r="D35" t="s">
        <v>18</v>
      </c>
    </row>
    <row r="36" spans="2:4" customFormat="1" x14ac:dyDescent="0.25">
      <c r="B36" s="27" t="s">
        <v>12</v>
      </c>
      <c r="D36" t="s">
        <v>19</v>
      </c>
    </row>
    <row r="37" spans="2:4" customFormat="1" x14ac:dyDescent="0.25">
      <c r="B37" s="28" t="s">
        <v>20</v>
      </c>
      <c r="D37" t="s">
        <v>21</v>
      </c>
    </row>
    <row r="38" spans="2:4" customFormat="1" ht="15" customHeight="1" x14ac:dyDescent="0.25">
      <c r="B38" s="29" t="s">
        <v>20</v>
      </c>
      <c r="D38" t="s">
        <v>22</v>
      </c>
    </row>
    <row r="39" spans="2:4" customFormat="1" ht="15" customHeight="1" x14ac:dyDescent="0.25">
      <c r="B39" s="1" t="s">
        <v>20</v>
      </c>
      <c r="D39" t="s">
        <v>23</v>
      </c>
    </row>
    <row r="40" spans="2:4" customFormat="1" ht="15" customHeight="1" x14ac:dyDescent="0.25">
      <c r="B40" s="30" t="s">
        <v>20</v>
      </c>
      <c r="D40" t="s">
        <v>24</v>
      </c>
    </row>
    <row r="41" spans="2:4" customFormat="1" ht="15" customHeight="1" x14ac:dyDescent="0.25">
      <c r="B41" s="31" t="s">
        <v>20</v>
      </c>
      <c r="D41" t="s">
        <v>25</v>
      </c>
    </row>
    <row r="42" spans="2:4" customFormat="1" ht="15" customHeight="1" x14ac:dyDescent="0.25">
      <c r="B42" s="32" t="s">
        <v>20</v>
      </c>
      <c r="D42" t="s">
        <v>26</v>
      </c>
    </row>
    <row r="43" spans="2:4" customFormat="1" ht="15" customHeight="1" x14ac:dyDescent="0.25">
      <c r="B43" s="33" t="s">
        <v>27</v>
      </c>
      <c r="D43" t="s">
        <v>28</v>
      </c>
    </row>
    <row r="44" spans="2:4" customFormat="1" ht="15" customHeight="1" x14ac:dyDescent="0.25">
      <c r="B44" s="34" t="s">
        <v>27</v>
      </c>
      <c r="D44" t="s">
        <v>29</v>
      </c>
    </row>
    <row r="45" spans="2:4" customFormat="1" ht="15" customHeight="1" x14ac:dyDescent="0.25">
      <c r="B45" s="35" t="s">
        <v>27</v>
      </c>
      <c r="D45" t="s">
        <v>30</v>
      </c>
    </row>
    <row r="46" spans="2:4" customFormat="1" ht="15" customHeight="1" x14ac:dyDescent="0.25">
      <c r="B46" s="36" t="s">
        <v>27</v>
      </c>
      <c r="C46" s="37"/>
      <c r="D46" s="37" t="s">
        <v>31</v>
      </c>
    </row>
    <row r="47" spans="2:4" ht="15" customHeight="1" x14ac:dyDescent="0.25">
      <c r="D47" s="38"/>
    </row>
    <row r="48" spans="2:4" ht="15" customHeight="1" x14ac:dyDescent="0.25">
      <c r="B48" s="4"/>
    </row>
    <row r="49" spans="2:4" ht="15" customHeight="1" x14ac:dyDescent="0.25">
      <c r="B49" s="39"/>
    </row>
    <row r="50" spans="2:4" ht="15" customHeight="1" x14ac:dyDescent="0.25">
      <c r="B50" s="39"/>
    </row>
    <row r="51" spans="2:4" ht="15" customHeight="1" x14ac:dyDescent="0.25">
      <c r="B51" s="39"/>
    </row>
    <row r="52" spans="2:4" ht="15" customHeight="1" x14ac:dyDescent="0.25">
      <c r="B52" s="39"/>
      <c r="D52" s="3"/>
    </row>
  </sheetData>
  <sheetProtection sheet="1" objects="1" formatCells="0" formatColumns="0" formatRows="0" sort="0" autoFilter="0"/>
  <dataValidations count="1">
    <dataValidation allowBlank="1" showInputMessage="1" showErrorMessage="1" prompt="Year should be entered as YYYY/YY_x000a_(e.g. 2019/20)" sqref="D19" xr:uid="{00000000-0002-0000-0000-000000000000}"/>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theme="4" tint="0.59999389629810485"/>
    <pageSetUpPr fitToPage="1"/>
  </sheetPr>
  <dimension ref="A1:KZ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H58 &amp; IF(H58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25">
      <c r="C9" s="29" t="s">
        <v>366</v>
      </c>
      <c r="E9"/>
    </row>
    <row r="10" spans="1:27" x14ac:dyDescent="0.25">
      <c r="C10" s="29" t="s">
        <v>367</v>
      </c>
      <c r="E10"/>
    </row>
    <row r="11" spans="1:27" x14ac:dyDescent="0.25">
      <c r="C11" s="29" t="s">
        <v>368</v>
      </c>
      <c r="E11"/>
    </row>
    <row r="12" spans="1:27" x14ac:dyDescent="0.25">
      <c r="C12" s="29" t="s">
        <v>369</v>
      </c>
      <c r="E12"/>
    </row>
    <row r="13" spans="1:27" x14ac:dyDescent="0.25">
      <c r="C13" s="29"/>
      <c r="E13"/>
    </row>
    <row r="14" spans="1:27" x14ac:dyDescent="0.25">
      <c r="C14" s="29" t="s">
        <v>370</v>
      </c>
      <c r="E14"/>
    </row>
    <row r="15" spans="1:27" x14ac:dyDescent="0.25">
      <c r="C15" s="29" t="s">
        <v>371</v>
      </c>
      <c r="E15"/>
    </row>
    <row r="17" spans="2:27" x14ac:dyDescent="0.25">
      <c r="B17" s="30" t="s">
        <v>372</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25">
      <c r="C18" s="88"/>
    </row>
    <row r="19" spans="2:27" x14ac:dyDescent="0.25">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25">
      <c r="C20" s="88"/>
    </row>
    <row r="21" spans="2:27" x14ac:dyDescent="0.25">
      <c r="D21" s="29" t="s">
        <v>373</v>
      </c>
      <c r="F21" s="2"/>
    </row>
    <row r="22" spans="2:27" x14ac:dyDescent="0.25">
      <c r="D22" s="88"/>
      <c r="F22" s="2"/>
    </row>
    <row r="23" spans="2:27" x14ac:dyDescent="0.25">
      <c r="D23"/>
      <c r="E23" s="32" t="s">
        <v>374</v>
      </c>
      <c r="F23" s="32"/>
      <c r="I23" t="s">
        <v>154</v>
      </c>
      <c r="AA23" t="s">
        <v>203</v>
      </c>
    </row>
    <row r="24" spans="2:27" x14ac:dyDescent="0.25">
      <c r="D24"/>
      <c r="E24" s="29" t="s">
        <v>375</v>
      </c>
    </row>
    <row r="25" spans="2:27" x14ac:dyDescent="0.25">
      <c r="D25" s="88"/>
      <c r="F25" s="23" t="s">
        <v>189</v>
      </c>
      <c r="G25" s="23" t="s">
        <v>167</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25">
      <c r="D26" s="88"/>
      <c r="F26" t="s">
        <v>191</v>
      </c>
      <c r="G26" t="s">
        <v>167</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25">
      <c r="D27" s="88"/>
      <c r="F27" t="s">
        <v>192</v>
      </c>
      <c r="G27" t="s">
        <v>167</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25">
      <c r="D28" s="88"/>
      <c r="F28" t="s">
        <v>193</v>
      </c>
      <c r="G28" t="s">
        <v>167</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25">
      <c r="D29" s="88"/>
      <c r="F29" t="s">
        <v>194</v>
      </c>
      <c r="G29" t="s">
        <v>167</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25">
      <c r="D30" s="88"/>
      <c r="F30" t="s">
        <v>195</v>
      </c>
      <c r="G30" t="s">
        <v>167</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25">
      <c r="D31" s="88"/>
      <c r="F31" t="s">
        <v>196</v>
      </c>
      <c r="G31" t="s">
        <v>167</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25">
      <c r="D32" s="88"/>
      <c r="F32" t="s">
        <v>197</v>
      </c>
      <c r="G32" t="s">
        <v>167</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25">
      <c r="D33" s="88"/>
      <c r="F33" t="s">
        <v>198</v>
      </c>
      <c r="G33" t="s">
        <v>167</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25">
      <c r="D34" s="88"/>
      <c r="F34" t="s">
        <v>199</v>
      </c>
      <c r="G34" t="s">
        <v>167</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25">
      <c r="D35" s="88"/>
      <c r="F35" t="s">
        <v>376</v>
      </c>
      <c r="G35" t="s">
        <v>167</v>
      </c>
      <c r="J35" s="66"/>
      <c r="K35" s="66"/>
      <c r="L35" s="66"/>
      <c r="M35" s="66"/>
      <c r="N35" s="66"/>
      <c r="O35" s="66"/>
      <c r="P35" s="66"/>
      <c r="Q35" s="66"/>
      <c r="R35" s="66"/>
      <c r="S35" s="66"/>
      <c r="T35" s="66"/>
      <c r="U35" s="66"/>
      <c r="V35" s="66"/>
      <c r="W35" s="66"/>
      <c r="X35" s="66"/>
      <c r="Y35" s="66"/>
    </row>
    <row r="36" spans="4:27" x14ac:dyDescent="0.25">
      <c r="D36" s="88"/>
      <c r="F36" s="37" t="s">
        <v>377</v>
      </c>
      <c r="G36" s="37" t="s">
        <v>167</v>
      </c>
      <c r="H36" s="37"/>
      <c r="I36" s="37"/>
      <c r="J36" s="68"/>
      <c r="K36" s="68"/>
      <c r="L36" s="68"/>
      <c r="M36" s="68"/>
      <c r="N36" s="68"/>
      <c r="O36" s="68"/>
      <c r="P36" s="68"/>
      <c r="Q36" s="68"/>
      <c r="R36" s="68"/>
      <c r="S36" s="68"/>
      <c r="T36" s="68"/>
      <c r="U36" s="68"/>
      <c r="V36" s="68"/>
      <c r="W36" s="68"/>
      <c r="X36" s="68"/>
      <c r="Y36" s="68"/>
    </row>
    <row r="37" spans="4:27" x14ac:dyDescent="0.25">
      <c r="D37" s="88"/>
      <c r="F37" s="2"/>
    </row>
    <row r="38" spans="4:27" x14ac:dyDescent="0.25">
      <c r="D38"/>
      <c r="E38" s="32" t="s">
        <v>281</v>
      </c>
      <c r="F38" s="2"/>
    </row>
    <row r="39" spans="4:27" x14ac:dyDescent="0.25">
      <c r="D39" s="88"/>
      <c r="E39"/>
      <c r="F39" s="28" t="s">
        <v>281</v>
      </c>
      <c r="G39" s="28" t="s">
        <v>167</v>
      </c>
      <c r="H39" s="25">
        <f>'Inputs by network level'!P17</f>
        <v>0</v>
      </c>
    </row>
    <row r="40" spans="4:27" x14ac:dyDescent="0.25">
      <c r="D40" s="88"/>
      <c r="F40" s="2"/>
    </row>
    <row r="41" spans="4:27" x14ac:dyDescent="0.25">
      <c r="D41"/>
      <c r="E41" s="32" t="s">
        <v>378</v>
      </c>
      <c r="F41" s="32"/>
    </row>
    <row r="42" spans="4:27" x14ac:dyDescent="0.25">
      <c r="D42"/>
      <c r="E42" s="29" t="s">
        <v>379</v>
      </c>
    </row>
    <row r="43" spans="4:27" x14ac:dyDescent="0.25">
      <c r="D43" s="88"/>
      <c r="F43" s="23" t="s">
        <v>189</v>
      </c>
      <c r="G43" s="23" t="s">
        <v>167</v>
      </c>
      <c r="H43" s="23"/>
      <c r="I43" s="23"/>
      <c r="J43" s="65"/>
      <c r="K43" s="65"/>
      <c r="L43" s="65"/>
      <c r="M43" s="65"/>
      <c r="N43" s="65"/>
      <c r="O43" s="65"/>
      <c r="P43" s="65"/>
      <c r="Q43" s="65"/>
      <c r="R43" s="65"/>
      <c r="S43" s="65"/>
      <c r="T43" s="65"/>
      <c r="U43" s="65"/>
      <c r="V43" s="65"/>
      <c r="W43" s="65"/>
      <c r="X43" s="65"/>
      <c r="Y43" s="65"/>
    </row>
    <row r="44" spans="4:27" x14ac:dyDescent="0.25">
      <c r="D44" s="88"/>
      <c r="F44" t="s">
        <v>191</v>
      </c>
      <c r="G44" t="s">
        <v>167</v>
      </c>
      <c r="J44" s="66"/>
      <c r="K44" s="66"/>
      <c r="L44" s="66"/>
      <c r="M44" s="66"/>
      <c r="N44" s="66"/>
      <c r="O44" s="66"/>
      <c r="P44" s="66"/>
      <c r="Q44" s="66"/>
      <c r="R44" s="66"/>
      <c r="S44" s="66"/>
      <c r="T44" s="66"/>
      <c r="U44" s="66"/>
      <c r="V44" s="66"/>
      <c r="W44" s="66"/>
      <c r="X44" s="66"/>
      <c r="Y44" s="66"/>
    </row>
    <row r="45" spans="4:27" x14ac:dyDescent="0.25">
      <c r="D45" s="88"/>
      <c r="F45" s="108" t="s">
        <v>192</v>
      </c>
      <c r="G45" s="108" t="s">
        <v>167</v>
      </c>
      <c r="H45" s="108"/>
      <c r="I45" s="108" t="s">
        <v>154</v>
      </c>
      <c r="J45" s="109">
        <f>IF($H$39 = 0, J27, J29 * $H$39)</f>
        <v>0</v>
      </c>
      <c r="K45" s="109">
        <f t="shared" ref="K45:Q45" si="0">IF($H$39 = 0, K27, K29 * $H$39)</f>
        <v>0</v>
      </c>
      <c r="L45" s="109">
        <f t="shared" si="0"/>
        <v>0</v>
      </c>
      <c r="M45" s="109">
        <f t="shared" si="0"/>
        <v>0</v>
      </c>
      <c r="N45" s="109">
        <f t="shared" si="0"/>
        <v>0</v>
      </c>
      <c r="O45" s="109">
        <f t="shared" si="0"/>
        <v>0</v>
      </c>
      <c r="P45" s="109">
        <f t="shared" si="0"/>
        <v>0</v>
      </c>
      <c r="Q45" s="109">
        <f t="shared" si="0"/>
        <v>0</v>
      </c>
      <c r="R45" s="110"/>
      <c r="S45" s="110"/>
      <c r="T45" s="110"/>
      <c r="U45" s="110"/>
      <c r="V45" s="110"/>
      <c r="W45" s="110"/>
      <c r="X45" s="110"/>
      <c r="Y45" s="110"/>
      <c r="AA45" t="s">
        <v>380</v>
      </c>
    </row>
    <row r="46" spans="4:27" x14ac:dyDescent="0.25">
      <c r="D46" s="88"/>
      <c r="F46" t="s">
        <v>193</v>
      </c>
      <c r="G46" t="s">
        <v>167</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25">
      <c r="D47" s="88"/>
      <c r="F47" t="s">
        <v>194</v>
      </c>
      <c r="G47" t="s">
        <v>167</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25">
      <c r="D48" s="88"/>
      <c r="F48" t="s">
        <v>195</v>
      </c>
      <c r="G48" t="s">
        <v>167</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25">
      <c r="D49" s="88"/>
      <c r="F49" s="108" t="s">
        <v>196</v>
      </c>
      <c r="G49" s="108" t="s">
        <v>167</v>
      </c>
      <c r="H49" s="108"/>
      <c r="I49" s="108" t="s">
        <v>154</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381</v>
      </c>
    </row>
    <row r="50" spans="2:27" x14ac:dyDescent="0.25">
      <c r="D50" s="88"/>
      <c r="F50" t="s">
        <v>197</v>
      </c>
      <c r="G50" t="s">
        <v>167</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25">
      <c r="D51" s="88"/>
      <c r="F51" t="s">
        <v>198</v>
      </c>
      <c r="G51" t="s">
        <v>167</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25">
      <c r="D52" s="88"/>
      <c r="F52" t="s">
        <v>199</v>
      </c>
      <c r="G52" t="s">
        <v>167</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25">
      <c r="D53" s="88"/>
      <c r="F53" t="s">
        <v>376</v>
      </c>
      <c r="G53" t="s">
        <v>167</v>
      </c>
      <c r="J53" s="66"/>
      <c r="K53" s="66"/>
      <c r="L53" s="66"/>
      <c r="M53" s="66"/>
      <c r="N53" s="66"/>
      <c r="O53" s="66"/>
      <c r="P53" s="66"/>
      <c r="Q53" s="66"/>
      <c r="R53" s="66"/>
      <c r="S53" s="66"/>
      <c r="T53" s="66"/>
      <c r="U53" s="66"/>
      <c r="V53" s="66"/>
      <c r="W53" s="66"/>
      <c r="X53" s="66"/>
      <c r="Y53" s="66"/>
    </row>
    <row r="54" spans="2:27" x14ac:dyDescent="0.25">
      <c r="D54" s="88"/>
      <c r="F54" s="37" t="s">
        <v>377</v>
      </c>
      <c r="G54" s="37" t="s">
        <v>167</v>
      </c>
      <c r="H54" s="37"/>
      <c r="I54" s="37"/>
      <c r="J54" s="68"/>
      <c r="K54" s="68"/>
      <c r="L54" s="68"/>
      <c r="M54" s="68"/>
      <c r="N54" s="68"/>
      <c r="O54" s="68"/>
      <c r="P54" s="68"/>
      <c r="Q54" s="68"/>
      <c r="R54" s="68"/>
      <c r="S54" s="68"/>
      <c r="T54" s="68"/>
      <c r="U54" s="68"/>
      <c r="V54" s="68"/>
      <c r="W54" s="68"/>
      <c r="X54" s="68"/>
      <c r="Y54" s="68"/>
    </row>
    <row r="55" spans="2:27" x14ac:dyDescent="0.25">
      <c r="C55" s="88"/>
    </row>
    <row r="56" spans="2:27" x14ac:dyDescent="0.25">
      <c r="B56" s="30" t="s">
        <v>231</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25">
      <c r="D57"/>
      <c r="E57"/>
    </row>
    <row r="58" spans="2:27" x14ac:dyDescent="0.25">
      <c r="D58"/>
      <c r="E58" t="s">
        <v>232</v>
      </c>
      <c r="G58" s="6" t="s">
        <v>55</v>
      </c>
      <c r="H58" s="26">
        <f t="array" ref="H58">SUM(IF(ISERROR(H25:Y54), 1))</f>
        <v>0</v>
      </c>
    </row>
    <row r="59" spans="2:27" x14ac:dyDescent="0.25">
      <c r="D59"/>
      <c r="E59"/>
    </row>
    <row r="60" spans="2:27" x14ac:dyDescent="0.25">
      <c r="B60" s="30" t="s">
        <v>106</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H58">
    <cfRule type="cellIs" dxfId="179" priority="10" operator="greaterThan">
      <formula>0</formula>
    </cfRule>
  </conditionalFormatting>
  <conditionalFormatting sqref="A4:I4 Z4:XFD4">
    <cfRule type="expression" dxfId="178" priority="9">
      <formula>LEFT($A$4,1) &lt;&gt; "0"</formula>
    </cfRule>
  </conditionalFormatting>
  <conditionalFormatting sqref="N4:P4">
    <cfRule type="expression" dxfId="177" priority="8">
      <formula>LEFT($A$4,1) &lt;&gt; "0"</formula>
    </cfRule>
  </conditionalFormatting>
  <conditionalFormatting sqref="L4:M4">
    <cfRule type="expression" dxfId="176" priority="7">
      <formula>LEFT($A$4,1) &lt;&gt; "0"</formula>
    </cfRule>
  </conditionalFormatting>
  <conditionalFormatting sqref="J4:K4">
    <cfRule type="expression" dxfId="175" priority="6">
      <formula>LEFT($A$4,1) &lt;&gt; "0"</formula>
    </cfRule>
  </conditionalFormatting>
  <conditionalFormatting sqref="Q4">
    <cfRule type="expression" dxfId="174" priority="5">
      <formula>LEFT($A$4,1) &lt;&gt; "0"</formula>
    </cfRule>
  </conditionalFormatting>
  <conditionalFormatting sqref="R4:S4">
    <cfRule type="expression" dxfId="173" priority="4">
      <formula>LEFT($A$4,1) &lt;&gt; "0"</formula>
    </cfRule>
  </conditionalFormatting>
  <conditionalFormatting sqref="T4:U4">
    <cfRule type="expression" dxfId="172" priority="3">
      <formula>LEFT($A$4,1) &lt;&gt; "0"</formula>
    </cfRule>
  </conditionalFormatting>
  <conditionalFormatting sqref="V4:W4">
    <cfRule type="expression" dxfId="171" priority="2">
      <formula>LEFT($A$4,1) &lt;&gt; "0"</formula>
    </cfRule>
  </conditionalFormatting>
  <conditionalFormatting sqref="X4:Y4">
    <cfRule type="expression" dxfId="170" priority="1">
      <formula>LEFT($A$4,1) &lt;&gt; "0"</formula>
    </cfRule>
  </conditionalFormatting>
  <hyperlinks>
    <hyperlink ref="B5:F5" location="'Model map'!A1" display="Click here to return to model map" xr:uid="{00000000-0004-0000-09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4" tint="0.59999389629810485"/>
    <pageSetUpPr fitToPage="1"/>
  </sheetPr>
  <dimension ref="A1:JF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7109375" hidden="1"/>
  </cols>
  <sheetData>
    <row r="1" spans="1:23" s="1" customFormat="1" x14ac:dyDescent="0.25">
      <c r="A1" s="1" t="str">
        <f ca="1">MID(CELL("filename",A1),FIND("]",CELL("filename",A1))+1,255)</f>
        <v>Load &amp; loss characteristics</v>
      </c>
    </row>
    <row r="2" spans="1:23" s="1" customFormat="1" x14ac:dyDescent="0.25">
      <c r="A2" s="1" t="str">
        <f>Cover!D21&amp;" - "&amp;Cover!D23</f>
        <v xml:space="preserve">SHEPD  - Final </v>
      </c>
    </row>
    <row r="3" spans="1:23" s="5" customFormat="1" x14ac:dyDescent="0.25">
      <c r="A3" s="5" t="str">
        <f>Cover!D2&amp;" - "&amp;Cover!D8&amp;" v"&amp;Cover!D10&amp;" - "&amp;Cover!D19</f>
        <v>CDCM charging model - Release for charge setting v5 - 2021/22</v>
      </c>
    </row>
    <row r="4" spans="1:23" x14ac:dyDescent="0.25">
      <c r="A4" s="12" t="str">
        <f>H183 &amp; IF(H183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I5" s="113"/>
      <c r="J5" s="114"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25">
      <c r="H6" s="3"/>
      <c r="I6" s="29"/>
      <c r="J6" s="3"/>
      <c r="K6" s="3"/>
      <c r="L6" s="3"/>
      <c r="M6" s="3"/>
      <c r="N6" s="3"/>
      <c r="O6" s="3"/>
      <c r="P6" s="3"/>
      <c r="Q6" s="3"/>
      <c r="R6" s="3"/>
      <c r="S6" s="3"/>
      <c r="T6" s="3"/>
      <c r="U6" s="3"/>
      <c r="W6" s="3"/>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382</v>
      </c>
    </row>
    <row r="10" spans="1:23" x14ac:dyDescent="0.25">
      <c r="C10" s="29" t="s">
        <v>383</v>
      </c>
    </row>
    <row r="11" spans="1:23" x14ac:dyDescent="0.25">
      <c r="C11" s="29" t="s">
        <v>384</v>
      </c>
    </row>
    <row r="13" spans="1:23" x14ac:dyDescent="0.25">
      <c r="B13" s="30" t="s">
        <v>385</v>
      </c>
      <c r="C13" s="30"/>
      <c r="D13" s="30"/>
      <c r="E13" s="30"/>
      <c r="F13" s="30"/>
      <c r="G13" s="30"/>
      <c r="H13" s="30"/>
      <c r="I13" s="30"/>
      <c r="J13" s="30"/>
      <c r="K13" s="30"/>
      <c r="L13" s="30"/>
      <c r="M13" s="30"/>
      <c r="N13" s="30"/>
      <c r="O13" s="30"/>
      <c r="P13" s="30"/>
      <c r="Q13" s="30"/>
      <c r="R13" s="30"/>
      <c r="S13" s="30"/>
      <c r="T13" s="30"/>
      <c r="U13" s="30"/>
      <c r="V13" s="30"/>
      <c r="W13" s="30"/>
    </row>
    <row r="14" spans="1:23" x14ac:dyDescent="0.25">
      <c r="H14" s="3"/>
      <c r="I14" s="3"/>
      <c r="J14" s="3"/>
      <c r="K14" s="3"/>
      <c r="L14" s="3"/>
      <c r="M14" s="3"/>
      <c r="N14" s="3"/>
      <c r="O14" s="3"/>
      <c r="P14" s="3"/>
      <c r="Q14" s="3"/>
      <c r="R14" s="3"/>
      <c r="S14" s="3"/>
      <c r="T14" s="3"/>
      <c r="U14" s="3"/>
      <c r="W14" s="3"/>
    </row>
    <row r="15" spans="1:23" x14ac:dyDescent="0.25">
      <c r="C15" s="29" t="s">
        <v>386</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25">
      <c r="H18" s="3"/>
      <c r="I18" s="3"/>
      <c r="J18" s="3"/>
      <c r="K18" s="3"/>
      <c r="L18" s="3"/>
      <c r="M18" s="3"/>
      <c r="N18" s="3"/>
      <c r="O18" s="3"/>
      <c r="P18" s="3"/>
      <c r="Q18" s="3"/>
      <c r="R18" s="3"/>
      <c r="S18" s="3"/>
      <c r="T18" s="3"/>
      <c r="U18" s="3"/>
      <c r="W18" s="3"/>
    </row>
    <row r="19" spans="2:23" x14ac:dyDescent="0.25">
      <c r="E19" t="s">
        <v>387</v>
      </c>
      <c r="F19" s="115"/>
      <c r="G19" s="13" t="s">
        <v>167</v>
      </c>
      <c r="H19" s="3"/>
      <c r="I19" s="3"/>
      <c r="J19" s="94"/>
      <c r="K19" s="116">
        <f>'Inputs by network level'!K15</f>
        <v>4.9000000000000002E-2</v>
      </c>
      <c r="L19" s="116">
        <f>'Inputs by network level'!L15</f>
        <v>0</v>
      </c>
      <c r="M19" s="94"/>
      <c r="N19" s="116">
        <f>'Inputs by network level'!N15</f>
        <v>8.7309999999999999E-2</v>
      </c>
      <c r="O19" s="94"/>
      <c r="P19" s="94"/>
      <c r="Q19" s="116">
        <f>'Inputs by network level'!Q15</f>
        <v>0.5292</v>
      </c>
      <c r="R19" s="94"/>
      <c r="S19" s="94"/>
      <c r="T19" s="66"/>
      <c r="U19" s="66"/>
    </row>
    <row r="20" spans="2:23" x14ac:dyDescent="0.25">
      <c r="E20" t="s">
        <v>243</v>
      </c>
      <c r="F20" s="115"/>
      <c r="G20" s="13" t="s">
        <v>167</v>
      </c>
      <c r="H20" s="3"/>
      <c r="I20" s="3"/>
      <c r="J20" s="117">
        <f t="shared" ref="J20" si="0">IF(I20 = "", 1, I20 / (1 + J19))</f>
        <v>1</v>
      </c>
      <c r="K20" s="117">
        <f>IF(J20 = "", 1, J20 / (1 + K19))</f>
        <v>0.95328884652049573</v>
      </c>
      <c r="L20" s="117">
        <f t="shared" ref="L20:S20" si="1">IF(K20 = "", 1, K20 / (1 + L19))</f>
        <v>0.95328884652049573</v>
      </c>
      <c r="M20" s="117">
        <f t="shared" si="1"/>
        <v>0.95328884652049573</v>
      </c>
      <c r="N20" s="117">
        <f t="shared" si="1"/>
        <v>0.87674062274833831</v>
      </c>
      <c r="O20" s="117">
        <f t="shared" si="1"/>
        <v>0.87674062274833831</v>
      </c>
      <c r="P20" s="117">
        <f t="shared" si="1"/>
        <v>0.87674062274833831</v>
      </c>
      <c r="Q20" s="117">
        <f t="shared" si="1"/>
        <v>0.57333286865572741</v>
      </c>
      <c r="R20" s="117">
        <f t="shared" si="1"/>
        <v>0.57333286865572741</v>
      </c>
      <c r="S20" s="117">
        <f t="shared" si="1"/>
        <v>0.57333286865572741</v>
      </c>
      <c r="T20" s="66"/>
      <c r="U20" s="66"/>
    </row>
    <row r="21" spans="2:23" x14ac:dyDescent="0.25">
      <c r="E21" t="s">
        <v>388</v>
      </c>
      <c r="F21" s="115"/>
      <c r="G21" s="13" t="s">
        <v>167</v>
      </c>
      <c r="H21" s="3"/>
      <c r="I21" s="3"/>
      <c r="J21" s="117">
        <f>1 / J20 - 1</f>
        <v>0</v>
      </c>
      <c r="K21" s="117">
        <f t="shared" ref="K21:S21" si="2">1 / K20 - 1</f>
        <v>4.8999999999999932E-2</v>
      </c>
      <c r="L21" s="117">
        <f t="shared" si="2"/>
        <v>4.8999999999999932E-2</v>
      </c>
      <c r="M21" s="117">
        <f t="shared" si="2"/>
        <v>4.8999999999999932E-2</v>
      </c>
      <c r="N21" s="117">
        <f t="shared" si="2"/>
        <v>0.14058818999999989</v>
      </c>
      <c r="O21" s="117">
        <f t="shared" si="2"/>
        <v>0.14058818999999989</v>
      </c>
      <c r="P21" s="117">
        <f t="shared" si="2"/>
        <v>0.14058818999999989</v>
      </c>
      <c r="Q21" s="117">
        <f t="shared" si="2"/>
        <v>0.74418746014799986</v>
      </c>
      <c r="R21" s="117">
        <f t="shared" si="2"/>
        <v>0.74418746014799986</v>
      </c>
      <c r="S21" s="117">
        <f t="shared" si="2"/>
        <v>0.74418746014799986</v>
      </c>
      <c r="T21" s="66"/>
      <c r="U21" s="66"/>
    </row>
    <row r="22" spans="2:23" x14ac:dyDescent="0.25">
      <c r="E22" t="s">
        <v>389</v>
      </c>
      <c r="F22" s="115"/>
      <c r="G22" s="13" t="s">
        <v>167</v>
      </c>
      <c r="H22" s="3"/>
      <c r="I22" s="3"/>
      <c r="J22" s="94"/>
      <c r="K22" s="94"/>
      <c r="L22" s="94"/>
      <c r="M22" s="94"/>
      <c r="N22" s="94"/>
      <c r="O22" s="94"/>
      <c r="P22" s="117">
        <f>M21</f>
        <v>4.8999999999999932E-2</v>
      </c>
      <c r="Q22" s="94"/>
      <c r="R22" s="94"/>
      <c r="S22" s="94"/>
      <c r="T22" s="66"/>
      <c r="U22" s="66"/>
    </row>
    <row r="23" spans="2:23" x14ac:dyDescent="0.25">
      <c r="E23" t="s">
        <v>390</v>
      </c>
      <c r="F23" s="115"/>
      <c r="G23" s="13" t="s">
        <v>167</v>
      </c>
      <c r="H23" s="3"/>
      <c r="I23" s="3" t="s">
        <v>154</v>
      </c>
      <c r="J23" s="118">
        <f t="shared" ref="J23:S23" si="3">IF(J22 = "", J21, J22)</f>
        <v>0</v>
      </c>
      <c r="K23" s="118">
        <f t="shared" si="3"/>
        <v>4.8999999999999932E-2</v>
      </c>
      <c r="L23" s="118">
        <f t="shared" si="3"/>
        <v>4.8999999999999932E-2</v>
      </c>
      <c r="M23" s="118">
        <f t="shared" si="3"/>
        <v>4.8999999999999932E-2</v>
      </c>
      <c r="N23" s="118">
        <f t="shared" si="3"/>
        <v>0.14058818999999989</v>
      </c>
      <c r="O23" s="118">
        <f t="shared" si="3"/>
        <v>0.14058818999999989</v>
      </c>
      <c r="P23" s="118">
        <f t="shared" si="3"/>
        <v>4.8999999999999932E-2</v>
      </c>
      <c r="Q23" s="118">
        <f t="shared" si="3"/>
        <v>0.74418746014799986</v>
      </c>
      <c r="R23" s="118">
        <f t="shared" si="3"/>
        <v>0.74418746014799986</v>
      </c>
      <c r="S23" s="118">
        <f t="shared" si="3"/>
        <v>0.74418746014799986</v>
      </c>
      <c r="T23" s="66"/>
      <c r="U23" s="66"/>
      <c r="W23" s="63" t="s">
        <v>391</v>
      </c>
    </row>
    <row r="24" spans="2:23" x14ac:dyDescent="0.25">
      <c r="F24" s="115"/>
      <c r="G24" s="13"/>
      <c r="H24" s="3"/>
      <c r="I24" s="3"/>
      <c r="J24" s="117"/>
      <c r="K24" s="117"/>
      <c r="L24" s="117"/>
      <c r="M24" s="117"/>
      <c r="N24" s="117"/>
      <c r="O24" s="117"/>
      <c r="P24" s="117"/>
      <c r="Q24" s="117"/>
      <c r="R24" s="117"/>
      <c r="S24" s="117"/>
      <c r="T24" s="3"/>
      <c r="U24" s="3"/>
    </row>
    <row r="25" spans="2:23" x14ac:dyDescent="0.25">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25">
      <c r="H26" s="3"/>
      <c r="I26" s="3"/>
      <c r="J26" s="3"/>
      <c r="K26" s="3"/>
      <c r="L26" s="3"/>
      <c r="M26" s="3"/>
      <c r="N26" s="3"/>
      <c r="O26" s="3"/>
      <c r="P26" s="3"/>
      <c r="Q26" s="3"/>
      <c r="R26" s="3"/>
      <c r="S26" s="3"/>
      <c r="T26" s="3"/>
      <c r="U26" s="3"/>
      <c r="W26" s="3"/>
    </row>
    <row r="27" spans="2:23" x14ac:dyDescent="0.25">
      <c r="E27" t="s">
        <v>392</v>
      </c>
      <c r="F27" s="119"/>
      <c r="G27" s="72" t="s">
        <v>283</v>
      </c>
      <c r="H27" s="3"/>
      <c r="I27" s="3"/>
      <c r="J27" s="79"/>
      <c r="K27" s="120">
        <f>'Inputs by network level'!K19</f>
        <v>1</v>
      </c>
      <c r="L27" s="120">
        <f>'Inputs by network level'!L19</f>
        <v>1</v>
      </c>
      <c r="M27" s="120">
        <f>'Inputs by network level'!M19</f>
        <v>1</v>
      </c>
      <c r="N27" s="120">
        <f>'Inputs by network level'!N19</f>
        <v>1.014</v>
      </c>
      <c r="O27" s="120">
        <f>'Inputs by network level'!O19</f>
        <v>1.026</v>
      </c>
      <c r="P27" s="79"/>
      <c r="Q27" s="120">
        <f>'Inputs by network level'!Q19</f>
        <v>1.036</v>
      </c>
      <c r="R27" s="120">
        <f>'Inputs by network level'!R19</f>
        <v>1.0589999999999999</v>
      </c>
      <c r="S27" s="120">
        <f>'Inputs by network level'!S19</f>
        <v>1.093</v>
      </c>
      <c r="T27" s="79"/>
      <c r="U27" s="79"/>
    </row>
    <row r="28" spans="2:23" x14ac:dyDescent="0.25">
      <c r="E28" t="s">
        <v>393</v>
      </c>
      <c r="F28" s="119"/>
      <c r="G28" s="72" t="s">
        <v>283</v>
      </c>
      <c r="H28" s="3"/>
      <c r="I28" s="3"/>
      <c r="J28" s="98">
        <f>K27</f>
        <v>1</v>
      </c>
      <c r="K28" s="79"/>
      <c r="L28" s="79"/>
      <c r="M28" s="79"/>
      <c r="N28" s="79"/>
      <c r="O28" s="79"/>
      <c r="P28" s="98">
        <f>O27</f>
        <v>1.026</v>
      </c>
      <c r="Q28" s="79"/>
      <c r="R28" s="79"/>
      <c r="S28" s="79"/>
      <c r="T28" s="79"/>
      <c r="U28" s="79"/>
    </row>
    <row r="29" spans="2:23" x14ac:dyDescent="0.25">
      <c r="E29" t="s">
        <v>394</v>
      </c>
      <c r="F29" s="119"/>
      <c r="G29" s="72" t="s">
        <v>283</v>
      </c>
      <c r="H29" s="3"/>
      <c r="I29" s="3" t="s">
        <v>154</v>
      </c>
      <c r="J29" s="121">
        <f t="shared" ref="J29:S29" si="4">J27 + J28</f>
        <v>1</v>
      </c>
      <c r="K29" s="121">
        <f t="shared" si="4"/>
        <v>1</v>
      </c>
      <c r="L29" s="121">
        <f t="shared" si="4"/>
        <v>1</v>
      </c>
      <c r="M29" s="121">
        <f t="shared" si="4"/>
        <v>1</v>
      </c>
      <c r="N29" s="121">
        <f t="shared" si="4"/>
        <v>1.014</v>
      </c>
      <c r="O29" s="121">
        <f t="shared" si="4"/>
        <v>1.026</v>
      </c>
      <c r="P29" s="121">
        <f t="shared" si="4"/>
        <v>1.026</v>
      </c>
      <c r="Q29" s="121">
        <f t="shared" si="4"/>
        <v>1.036</v>
      </c>
      <c r="R29" s="121">
        <f t="shared" si="4"/>
        <v>1.0589999999999999</v>
      </c>
      <c r="S29" s="121">
        <f t="shared" si="4"/>
        <v>1.093</v>
      </c>
      <c r="T29" s="79"/>
      <c r="U29" s="79"/>
      <c r="W29" s="63" t="s">
        <v>284</v>
      </c>
    </row>
    <row r="30" spans="2:23" x14ac:dyDescent="0.25">
      <c r="F30" s="115"/>
      <c r="G30" s="13"/>
      <c r="H30" s="3"/>
      <c r="I30" s="3"/>
      <c r="J30" s="3"/>
      <c r="K30" s="3"/>
      <c r="L30" s="3"/>
      <c r="M30" s="3"/>
      <c r="N30" s="3"/>
      <c r="O30" s="3"/>
      <c r="Q30" s="3"/>
      <c r="R30" s="3"/>
      <c r="S30" s="3"/>
      <c r="T30" s="3"/>
      <c r="U30" s="3"/>
    </row>
    <row r="31" spans="2:23" x14ac:dyDescent="0.25">
      <c r="B31" s="30" t="s">
        <v>395</v>
      </c>
      <c r="C31" s="30"/>
      <c r="D31" s="30"/>
      <c r="E31" s="30"/>
      <c r="F31" s="30"/>
      <c r="G31" s="92"/>
      <c r="H31" s="30"/>
      <c r="I31" s="30"/>
      <c r="J31" s="30"/>
      <c r="K31" s="30"/>
      <c r="L31" s="30"/>
      <c r="M31" s="30"/>
      <c r="N31" s="30"/>
      <c r="O31" s="30"/>
      <c r="P31" s="30"/>
      <c r="Q31" s="30"/>
      <c r="R31" s="30"/>
      <c r="S31" s="30"/>
      <c r="T31" s="30"/>
      <c r="U31" s="30"/>
      <c r="V31" s="30"/>
      <c r="W31" s="30"/>
    </row>
    <row r="32" spans="2:23" x14ac:dyDescent="0.25">
      <c r="F32" s="115"/>
      <c r="G32" s="13"/>
      <c r="H32" s="3"/>
      <c r="I32" s="3"/>
      <c r="J32" s="3"/>
      <c r="K32" s="3"/>
      <c r="L32" s="3"/>
      <c r="M32" s="3"/>
      <c r="N32" s="3"/>
      <c r="O32" s="3"/>
      <c r="Q32" s="3"/>
      <c r="R32" s="3"/>
      <c r="S32" s="3"/>
      <c r="T32" s="3"/>
      <c r="U32" s="3"/>
    </row>
    <row r="33" spans="3:23" x14ac:dyDescent="0.25">
      <c r="C33" s="29" t="s">
        <v>396</v>
      </c>
      <c r="F33" s="115"/>
      <c r="G33" s="13"/>
      <c r="H33" s="3"/>
      <c r="I33" s="3"/>
      <c r="J33" s="3"/>
      <c r="K33" s="3"/>
      <c r="L33" s="3"/>
      <c r="M33" s="3"/>
      <c r="N33" s="3"/>
      <c r="O33" s="3"/>
      <c r="Q33" s="3"/>
      <c r="R33" s="3"/>
      <c r="S33" s="3"/>
      <c r="T33" s="3"/>
      <c r="U33" s="3"/>
    </row>
    <row r="34" spans="3:23" x14ac:dyDescent="0.25">
      <c r="F34" s="115"/>
      <c r="G34" s="13"/>
      <c r="H34" s="3"/>
      <c r="I34" s="3"/>
      <c r="J34" s="3"/>
      <c r="K34" s="3"/>
      <c r="L34" s="3"/>
      <c r="M34" s="3"/>
      <c r="N34" s="3"/>
      <c r="O34" s="3"/>
      <c r="Q34" s="3"/>
      <c r="R34" s="3"/>
      <c r="S34" s="3"/>
      <c r="T34" s="3"/>
      <c r="U34" s="3"/>
    </row>
    <row r="35" spans="3:23" x14ac:dyDescent="0.25">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25">
      <c r="H36" s="3"/>
      <c r="I36" s="3"/>
      <c r="J36" s="3"/>
      <c r="K36" s="3"/>
      <c r="L36" s="3"/>
      <c r="M36" s="3"/>
      <c r="N36" s="3"/>
      <c r="O36" s="3"/>
      <c r="P36" s="3"/>
      <c r="Q36" s="3"/>
      <c r="R36" s="3"/>
      <c r="S36" s="3"/>
      <c r="T36" s="3"/>
      <c r="U36" s="3"/>
      <c r="W36" s="3"/>
    </row>
    <row r="37" spans="3:23" x14ac:dyDescent="0.25">
      <c r="E37" t="s">
        <v>196</v>
      </c>
      <c r="F37" s="28"/>
      <c r="G37" s="72" t="s">
        <v>167</v>
      </c>
      <c r="H37" s="116">
        <f>'Inputs by network level'!P17</f>
        <v>0</v>
      </c>
      <c r="I37" s="3"/>
    </row>
    <row r="38" spans="3:23" x14ac:dyDescent="0.25">
      <c r="E38" t="s">
        <v>397</v>
      </c>
      <c r="F38" s="115"/>
      <c r="G38" s="13" t="s">
        <v>167</v>
      </c>
      <c r="H38" s="3"/>
      <c r="I38" s="3"/>
      <c r="J38" s="66"/>
      <c r="K38" s="66"/>
      <c r="L38" s="66"/>
      <c r="M38" s="122">
        <f>1 - $H$37</f>
        <v>1</v>
      </c>
      <c r="N38" s="122">
        <f>1 - $H$37</f>
        <v>1</v>
      </c>
      <c r="O38" s="122">
        <f>1 - $H$37</f>
        <v>1</v>
      </c>
      <c r="P38" s="123">
        <f>H37</f>
        <v>0</v>
      </c>
      <c r="Q38" s="66"/>
      <c r="R38" s="66"/>
      <c r="S38" s="66"/>
      <c r="T38" s="66"/>
      <c r="U38" s="66"/>
    </row>
    <row r="39" spans="3:23" x14ac:dyDescent="0.25">
      <c r="F39" s="115"/>
      <c r="G39" s="13"/>
      <c r="H39" s="3"/>
      <c r="I39" s="3"/>
      <c r="J39" s="3"/>
      <c r="K39" s="3"/>
      <c r="L39" s="3"/>
      <c r="M39" s="3"/>
      <c r="N39" s="3"/>
      <c r="O39" s="3"/>
      <c r="Q39" s="3"/>
      <c r="R39" s="3"/>
      <c r="S39" s="3"/>
      <c r="T39" s="3"/>
      <c r="U39" s="3"/>
    </row>
    <row r="40" spans="3:23" x14ac:dyDescent="0.25">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25">
      <c r="H41" s="3"/>
      <c r="I41" s="3"/>
      <c r="J41" s="3"/>
      <c r="K41" s="3"/>
      <c r="L41" s="3"/>
      <c r="M41" s="3"/>
      <c r="N41" s="3"/>
      <c r="O41" s="3"/>
      <c r="P41" s="3"/>
      <c r="Q41" s="3"/>
      <c r="R41" s="3"/>
      <c r="S41" s="3"/>
      <c r="T41" s="3"/>
      <c r="U41" s="3"/>
      <c r="W41" s="3"/>
    </row>
    <row r="42" spans="3:23" x14ac:dyDescent="0.25">
      <c r="D42" s="29" t="s">
        <v>398</v>
      </c>
      <c r="H42" s="3"/>
      <c r="I42" s="3"/>
      <c r="J42" s="3"/>
      <c r="K42" s="3"/>
      <c r="L42" s="3"/>
      <c r="M42" s="3"/>
      <c r="N42" s="3"/>
      <c r="O42" s="3"/>
      <c r="P42" s="3"/>
      <c r="Q42" s="3"/>
      <c r="R42" s="3"/>
      <c r="S42" s="3"/>
      <c r="T42" s="3"/>
      <c r="U42" s="3"/>
      <c r="W42" s="3"/>
    </row>
    <row r="43" spans="3:23" x14ac:dyDescent="0.25">
      <c r="D43" s="29"/>
      <c r="H43" s="3"/>
      <c r="I43" s="3"/>
      <c r="J43" s="3"/>
      <c r="K43" s="3"/>
      <c r="L43" s="3"/>
      <c r="M43" s="3"/>
      <c r="N43" s="3"/>
      <c r="O43" s="3"/>
      <c r="P43" s="3"/>
      <c r="Q43" s="3"/>
      <c r="R43" s="3"/>
      <c r="S43" s="3"/>
      <c r="T43" s="3"/>
      <c r="U43" s="3"/>
      <c r="W43" s="3"/>
    </row>
    <row r="44" spans="3:23" x14ac:dyDescent="0.25">
      <c r="E44" s="32" t="s">
        <v>187</v>
      </c>
      <c r="G44" s="13"/>
    </row>
    <row r="45" spans="3:23" x14ac:dyDescent="0.25">
      <c r="E45" s="29" t="s">
        <v>399</v>
      </c>
      <c r="G45" s="13"/>
    </row>
    <row r="46" spans="3:23" x14ac:dyDescent="0.25">
      <c r="F46" s="23" t="s">
        <v>940</v>
      </c>
      <c r="G46" s="78" t="s">
        <v>190</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25">
      <c r="F47" t="s">
        <v>942</v>
      </c>
      <c r="G47" s="72" t="s">
        <v>190</v>
      </c>
      <c r="J47" s="120">
        <v>1</v>
      </c>
      <c r="K47" s="120">
        <v>1</v>
      </c>
      <c r="L47" s="120">
        <v>1</v>
      </c>
      <c r="M47" s="120">
        <v>1</v>
      </c>
      <c r="N47" s="120">
        <v>1</v>
      </c>
      <c r="O47" s="120">
        <v>1</v>
      </c>
      <c r="P47" s="120">
        <v>1</v>
      </c>
      <c r="Q47" s="120">
        <v>1</v>
      </c>
      <c r="R47" s="120">
        <v>1</v>
      </c>
      <c r="S47" s="120">
        <v>1</v>
      </c>
      <c r="T47" s="79"/>
      <c r="U47" s="79"/>
    </row>
    <row r="48" spans="3:23" x14ac:dyDescent="0.25">
      <c r="F48" t="s">
        <v>941</v>
      </c>
      <c r="G48" s="72" t="s">
        <v>190</v>
      </c>
      <c r="J48" s="120">
        <v>1</v>
      </c>
      <c r="K48" s="120">
        <v>1</v>
      </c>
      <c r="L48" s="120">
        <v>1</v>
      </c>
      <c r="M48" s="120">
        <v>1</v>
      </c>
      <c r="N48" s="120">
        <v>1</v>
      </c>
      <c r="O48" s="120">
        <v>1</v>
      </c>
      <c r="P48" s="120">
        <v>1</v>
      </c>
      <c r="Q48" s="120">
        <v>1</v>
      </c>
      <c r="R48" s="120">
        <v>1</v>
      </c>
      <c r="S48" s="120">
        <v>1</v>
      </c>
      <c r="T48" s="79"/>
      <c r="U48" s="79"/>
    </row>
    <row r="49" spans="5:21" x14ac:dyDescent="0.25">
      <c r="F49" t="s">
        <v>943</v>
      </c>
      <c r="G49" s="72" t="s">
        <v>190</v>
      </c>
      <c r="J49" s="120">
        <v>1</v>
      </c>
      <c r="K49" s="120">
        <v>1</v>
      </c>
      <c r="L49" s="120">
        <v>1</v>
      </c>
      <c r="M49" s="120">
        <v>1</v>
      </c>
      <c r="N49" s="120">
        <v>1</v>
      </c>
      <c r="O49" s="120">
        <v>1</v>
      </c>
      <c r="P49" s="120">
        <v>1</v>
      </c>
      <c r="Q49" s="120">
        <v>1</v>
      </c>
      <c r="R49" s="120">
        <v>1</v>
      </c>
      <c r="S49" s="120">
        <v>1</v>
      </c>
      <c r="T49" s="79"/>
      <c r="U49" s="79"/>
    </row>
    <row r="50" spans="5:21" x14ac:dyDescent="0.25">
      <c r="F50" t="s">
        <v>949</v>
      </c>
      <c r="G50" s="72" t="s">
        <v>190</v>
      </c>
      <c r="J50" s="120">
        <v>1</v>
      </c>
      <c r="K50" s="120">
        <v>1</v>
      </c>
      <c r="L50" s="120">
        <v>1</v>
      </c>
      <c r="M50" s="120">
        <v>1</v>
      </c>
      <c r="N50" s="120">
        <v>1</v>
      </c>
      <c r="O50" s="120">
        <v>1</v>
      </c>
      <c r="P50" s="120">
        <v>1</v>
      </c>
      <c r="Q50" s="120">
        <v>1</v>
      </c>
      <c r="R50" s="120">
        <v>1</v>
      </c>
      <c r="S50" s="120">
        <v>1</v>
      </c>
      <c r="T50" s="79"/>
      <c r="U50" s="79"/>
    </row>
    <row r="51" spans="5:21" x14ac:dyDescent="0.25">
      <c r="F51" t="s">
        <v>950</v>
      </c>
      <c r="G51" s="72" t="s">
        <v>190</v>
      </c>
      <c r="J51" s="120">
        <v>1</v>
      </c>
      <c r="K51" s="120">
        <v>1</v>
      </c>
      <c r="L51" s="120">
        <v>1</v>
      </c>
      <c r="M51" s="120">
        <v>1</v>
      </c>
      <c r="N51" s="120">
        <v>1</v>
      </c>
      <c r="O51" s="120">
        <v>1</v>
      </c>
      <c r="P51" s="120">
        <v>1</v>
      </c>
      <c r="Q51" s="120">
        <v>1</v>
      </c>
      <c r="R51" s="120">
        <v>1</v>
      </c>
      <c r="S51" s="120">
        <v>0</v>
      </c>
      <c r="T51" s="79"/>
      <c r="U51" s="79"/>
    </row>
    <row r="52" spans="5:21" x14ac:dyDescent="0.25">
      <c r="F52" t="s">
        <v>951</v>
      </c>
      <c r="G52" s="72" t="s">
        <v>190</v>
      </c>
      <c r="J52" s="120">
        <v>1</v>
      </c>
      <c r="K52" s="120">
        <v>1</v>
      </c>
      <c r="L52" s="120">
        <v>1</v>
      </c>
      <c r="M52" s="120">
        <v>1</v>
      </c>
      <c r="N52" s="120">
        <v>1</v>
      </c>
      <c r="O52" s="120">
        <v>1</v>
      </c>
      <c r="P52" s="120">
        <v>1</v>
      </c>
      <c r="Q52" s="120">
        <v>1</v>
      </c>
      <c r="R52" s="120">
        <v>0</v>
      </c>
      <c r="S52" s="120">
        <v>0</v>
      </c>
      <c r="T52" s="79"/>
      <c r="U52" s="79"/>
    </row>
    <row r="53" spans="5:21" x14ac:dyDescent="0.25">
      <c r="F53" t="s">
        <v>952</v>
      </c>
      <c r="G53" s="72" t="s">
        <v>190</v>
      </c>
      <c r="J53" s="120">
        <v>1</v>
      </c>
      <c r="K53" s="120">
        <v>1</v>
      </c>
      <c r="L53" s="120">
        <v>1</v>
      </c>
      <c r="M53" s="120">
        <v>1</v>
      </c>
      <c r="N53" s="120">
        <v>1</v>
      </c>
      <c r="O53" s="120">
        <v>1</v>
      </c>
      <c r="P53" s="120">
        <v>1</v>
      </c>
      <c r="Q53" s="120">
        <v>1</v>
      </c>
      <c r="R53" s="120">
        <v>1</v>
      </c>
      <c r="S53" s="120">
        <v>1</v>
      </c>
      <c r="T53" s="79"/>
      <c r="U53" s="79"/>
    </row>
    <row r="54" spans="5:21" x14ac:dyDescent="0.25">
      <c r="F54" t="s">
        <v>944</v>
      </c>
      <c r="G54" s="72" t="s">
        <v>190</v>
      </c>
      <c r="J54" s="120">
        <v>-1</v>
      </c>
      <c r="K54" s="120">
        <v>-1</v>
      </c>
      <c r="L54" s="120">
        <v>-1</v>
      </c>
      <c r="M54" s="120">
        <v>-1</v>
      </c>
      <c r="N54" s="120">
        <v>-1</v>
      </c>
      <c r="O54" s="120">
        <v>-1</v>
      </c>
      <c r="P54" s="120">
        <v>-1</v>
      </c>
      <c r="Q54" s="120">
        <v>-1</v>
      </c>
      <c r="R54" s="120">
        <v>-1</v>
      </c>
      <c r="S54" s="120">
        <v>-1</v>
      </c>
      <c r="T54" s="79"/>
      <c r="U54" s="79"/>
    </row>
    <row r="55" spans="5:21" x14ac:dyDescent="0.25">
      <c r="F55" t="s">
        <v>945</v>
      </c>
      <c r="G55" s="72" t="s">
        <v>190</v>
      </c>
      <c r="J55" s="120">
        <v>-1</v>
      </c>
      <c r="K55" s="120">
        <v>-1</v>
      </c>
      <c r="L55" s="120">
        <v>-1</v>
      </c>
      <c r="M55" s="120">
        <v>-1</v>
      </c>
      <c r="N55" s="120">
        <v>-1</v>
      </c>
      <c r="O55" s="120">
        <v>-1</v>
      </c>
      <c r="P55" s="120">
        <v>-1</v>
      </c>
      <c r="Q55" s="120">
        <v>-1</v>
      </c>
      <c r="R55" s="120">
        <v>-1</v>
      </c>
      <c r="S55" s="120">
        <v>0</v>
      </c>
      <c r="T55" s="79"/>
      <c r="U55" s="79"/>
    </row>
    <row r="56" spans="5:21" x14ac:dyDescent="0.25">
      <c r="F56" t="s">
        <v>946</v>
      </c>
      <c r="G56" s="72" t="s">
        <v>190</v>
      </c>
      <c r="J56" s="120">
        <v>-1</v>
      </c>
      <c r="K56" s="120">
        <v>-1</v>
      </c>
      <c r="L56" s="120">
        <v>-1</v>
      </c>
      <c r="M56" s="120">
        <v>-1</v>
      </c>
      <c r="N56" s="120">
        <v>-1</v>
      </c>
      <c r="O56" s="120">
        <v>-1</v>
      </c>
      <c r="P56" s="120">
        <v>-1</v>
      </c>
      <c r="Q56" s="120">
        <v>-1</v>
      </c>
      <c r="R56" s="120">
        <v>-1</v>
      </c>
      <c r="S56" s="120">
        <v>-1</v>
      </c>
      <c r="T56" s="79"/>
      <c r="U56" s="79"/>
    </row>
    <row r="57" spans="5:21" x14ac:dyDescent="0.25">
      <c r="F57" t="s">
        <v>955</v>
      </c>
      <c r="G57" s="72" t="s">
        <v>190</v>
      </c>
      <c r="J57" s="120">
        <v>-1</v>
      </c>
      <c r="K57" s="120">
        <v>-1</v>
      </c>
      <c r="L57" s="120">
        <v>-1</v>
      </c>
      <c r="M57" s="120">
        <v>-1</v>
      </c>
      <c r="N57" s="120">
        <v>-1</v>
      </c>
      <c r="O57" s="120">
        <v>-1</v>
      </c>
      <c r="P57" s="120">
        <v>-1</v>
      </c>
      <c r="Q57" s="120">
        <v>-1</v>
      </c>
      <c r="R57" s="120">
        <v>-1</v>
      </c>
      <c r="S57" s="120">
        <v>-1</v>
      </c>
      <c r="T57" s="79"/>
      <c r="U57" s="79"/>
    </row>
    <row r="58" spans="5:21" x14ac:dyDescent="0.25">
      <c r="F58" t="s">
        <v>947</v>
      </c>
      <c r="G58" s="72" t="s">
        <v>190</v>
      </c>
      <c r="J58" s="120">
        <v>-1</v>
      </c>
      <c r="K58" s="120">
        <v>-1</v>
      </c>
      <c r="L58" s="120">
        <v>-1</v>
      </c>
      <c r="M58" s="120">
        <v>-1</v>
      </c>
      <c r="N58" s="120">
        <v>-1</v>
      </c>
      <c r="O58" s="120">
        <v>-1</v>
      </c>
      <c r="P58" s="120">
        <v>-1</v>
      </c>
      <c r="Q58" s="120">
        <v>-1</v>
      </c>
      <c r="R58" s="120">
        <v>-1</v>
      </c>
      <c r="S58" s="120">
        <v>0</v>
      </c>
      <c r="T58" s="79"/>
      <c r="U58" s="79"/>
    </row>
    <row r="59" spans="5:21" x14ac:dyDescent="0.25">
      <c r="F59" t="s">
        <v>954</v>
      </c>
      <c r="G59" s="72" t="s">
        <v>190</v>
      </c>
      <c r="J59" s="120">
        <v>-1</v>
      </c>
      <c r="K59" s="120">
        <v>-1</v>
      </c>
      <c r="L59" s="120">
        <v>-1</v>
      </c>
      <c r="M59" s="120">
        <v>-1</v>
      </c>
      <c r="N59" s="120">
        <v>-1</v>
      </c>
      <c r="O59" s="120">
        <v>-1</v>
      </c>
      <c r="P59" s="120">
        <v>-1</v>
      </c>
      <c r="Q59" s="120">
        <v>-1</v>
      </c>
      <c r="R59" s="120">
        <v>-1</v>
      </c>
      <c r="S59" s="120">
        <v>0</v>
      </c>
      <c r="T59" s="79"/>
      <c r="U59" s="79"/>
    </row>
    <row r="60" spans="5:21" x14ac:dyDescent="0.25">
      <c r="F60" t="s">
        <v>948</v>
      </c>
      <c r="G60" s="72" t="s">
        <v>190</v>
      </c>
      <c r="J60" s="120">
        <v>-1</v>
      </c>
      <c r="K60" s="120">
        <v>-1</v>
      </c>
      <c r="L60" s="120">
        <v>-1</v>
      </c>
      <c r="M60" s="120">
        <v>-1</v>
      </c>
      <c r="N60" s="120">
        <v>-1</v>
      </c>
      <c r="O60" s="120">
        <v>-1</v>
      </c>
      <c r="P60" s="120">
        <v>-1</v>
      </c>
      <c r="Q60" s="120">
        <v>-1</v>
      </c>
      <c r="R60" s="120">
        <v>0</v>
      </c>
      <c r="S60" s="120">
        <v>0</v>
      </c>
      <c r="T60" s="79"/>
      <c r="U60" s="79"/>
    </row>
    <row r="61" spans="5:21" x14ac:dyDescent="0.25">
      <c r="F61" s="37" t="s">
        <v>953</v>
      </c>
      <c r="G61" s="80" t="s">
        <v>190</v>
      </c>
      <c r="H61" s="37"/>
      <c r="I61" s="37"/>
      <c r="J61" s="125">
        <v>-1</v>
      </c>
      <c r="K61" s="125">
        <v>-1</v>
      </c>
      <c r="L61" s="125">
        <v>-1</v>
      </c>
      <c r="M61" s="125">
        <v>-1</v>
      </c>
      <c r="N61" s="125">
        <v>-1</v>
      </c>
      <c r="O61" s="125">
        <v>-1</v>
      </c>
      <c r="P61" s="125">
        <v>-1</v>
      </c>
      <c r="Q61" s="125">
        <v>-1</v>
      </c>
      <c r="R61" s="125">
        <v>0</v>
      </c>
      <c r="S61" s="125">
        <v>0</v>
      </c>
      <c r="T61" s="81"/>
      <c r="U61" s="81"/>
    </row>
    <row r="62" spans="5:21" x14ac:dyDescent="0.25">
      <c r="G62" s="13"/>
      <c r="J62" s="89"/>
      <c r="K62" s="89"/>
      <c r="L62" s="89"/>
      <c r="M62" s="89"/>
      <c r="N62" s="89"/>
      <c r="O62" s="89"/>
      <c r="P62" s="89"/>
      <c r="Q62" s="89"/>
      <c r="R62" s="89"/>
      <c r="S62" s="89"/>
      <c r="T62" s="89"/>
      <c r="U62" s="89"/>
    </row>
    <row r="63" spans="5:21" x14ac:dyDescent="0.25">
      <c r="E63" s="32" t="s">
        <v>400</v>
      </c>
      <c r="G63" s="13"/>
      <c r="J63" s="89"/>
      <c r="K63" s="89"/>
      <c r="L63" s="89"/>
      <c r="M63" s="89"/>
      <c r="N63" s="89"/>
      <c r="O63" s="89"/>
      <c r="P63" s="89"/>
      <c r="Q63" s="89"/>
      <c r="R63" s="89"/>
      <c r="S63" s="89"/>
      <c r="T63" s="89"/>
      <c r="U63" s="89"/>
    </row>
    <row r="64" spans="5:21" x14ac:dyDescent="0.25">
      <c r="E64" s="29" t="s">
        <v>401</v>
      </c>
      <c r="G64" s="13"/>
      <c r="J64" s="89"/>
      <c r="K64" s="89"/>
      <c r="L64" s="89"/>
      <c r="M64" s="89"/>
      <c r="N64" s="89"/>
      <c r="O64" s="89"/>
      <c r="P64" s="89"/>
      <c r="Q64" s="89"/>
      <c r="R64" s="89"/>
      <c r="S64" s="89"/>
      <c r="T64" s="89"/>
      <c r="U64" s="89"/>
    </row>
    <row r="65" spans="6:23" x14ac:dyDescent="0.25">
      <c r="F65" s="23" t="s">
        <v>940</v>
      </c>
      <c r="G65" s="78" t="s">
        <v>190</v>
      </c>
      <c r="H65" s="23"/>
      <c r="I65" s="23"/>
      <c r="J65" s="126">
        <f t="shared" ref="J65:S65" si="5">IF(J$38 = "", J46, J46 * J$38)</f>
        <v>1</v>
      </c>
      <c r="K65" s="126">
        <f t="shared" si="5"/>
        <v>1</v>
      </c>
      <c r="L65" s="126">
        <f t="shared" si="5"/>
        <v>1</v>
      </c>
      <c r="M65" s="126">
        <f t="shared" si="5"/>
        <v>1</v>
      </c>
      <c r="N65" s="126">
        <f t="shared" si="5"/>
        <v>1</v>
      </c>
      <c r="O65" s="126">
        <f t="shared" si="5"/>
        <v>1</v>
      </c>
      <c r="P65" s="126">
        <f t="shared" si="5"/>
        <v>0</v>
      </c>
      <c r="Q65" s="126">
        <f t="shared" si="5"/>
        <v>1</v>
      </c>
      <c r="R65" s="126">
        <f t="shared" si="5"/>
        <v>1</v>
      </c>
      <c r="S65" s="126">
        <f t="shared" si="5"/>
        <v>1</v>
      </c>
      <c r="T65" s="83"/>
      <c r="U65" s="83"/>
      <c r="W65" s="3"/>
    </row>
    <row r="66" spans="6:23" x14ac:dyDescent="0.25">
      <c r="F66" t="s">
        <v>942</v>
      </c>
      <c r="G66" s="72" t="s">
        <v>190</v>
      </c>
      <c r="J66" s="98">
        <f t="shared" ref="J66:S66" si="6">IF(J$38 = "", J47, J47 * J$38)</f>
        <v>1</v>
      </c>
      <c r="K66" s="98">
        <f t="shared" si="6"/>
        <v>1</v>
      </c>
      <c r="L66" s="98">
        <f t="shared" si="6"/>
        <v>1</v>
      </c>
      <c r="M66" s="98">
        <f t="shared" si="6"/>
        <v>1</v>
      </c>
      <c r="N66" s="98">
        <f t="shared" si="6"/>
        <v>1</v>
      </c>
      <c r="O66" s="98">
        <f t="shared" si="6"/>
        <v>1</v>
      </c>
      <c r="P66" s="98">
        <f t="shared" si="6"/>
        <v>0</v>
      </c>
      <c r="Q66" s="98">
        <f t="shared" si="6"/>
        <v>1</v>
      </c>
      <c r="R66" s="98">
        <f t="shared" si="6"/>
        <v>1</v>
      </c>
      <c r="S66" s="98">
        <f t="shared" si="6"/>
        <v>1</v>
      </c>
      <c r="T66" s="79"/>
      <c r="U66" s="79"/>
    </row>
    <row r="67" spans="6:23" x14ac:dyDescent="0.25">
      <c r="F67" t="s">
        <v>941</v>
      </c>
      <c r="G67" s="72" t="s">
        <v>190</v>
      </c>
      <c r="J67" s="98">
        <f t="shared" ref="J67:S67" si="7">IF(J$38 = "", J48, J48 * J$38)</f>
        <v>1</v>
      </c>
      <c r="K67" s="98">
        <f t="shared" si="7"/>
        <v>1</v>
      </c>
      <c r="L67" s="98">
        <f t="shared" si="7"/>
        <v>1</v>
      </c>
      <c r="M67" s="98">
        <f t="shared" si="7"/>
        <v>1</v>
      </c>
      <c r="N67" s="98">
        <f t="shared" si="7"/>
        <v>1</v>
      </c>
      <c r="O67" s="98">
        <f t="shared" si="7"/>
        <v>1</v>
      </c>
      <c r="P67" s="98">
        <f t="shared" si="7"/>
        <v>0</v>
      </c>
      <c r="Q67" s="98">
        <f t="shared" si="7"/>
        <v>1</v>
      </c>
      <c r="R67" s="98">
        <f t="shared" si="7"/>
        <v>1</v>
      </c>
      <c r="S67" s="98">
        <f t="shared" si="7"/>
        <v>1</v>
      </c>
      <c r="T67" s="79"/>
      <c r="U67" s="79"/>
    </row>
    <row r="68" spans="6:23" x14ac:dyDescent="0.25">
      <c r="F68" t="s">
        <v>943</v>
      </c>
      <c r="G68" s="72" t="s">
        <v>190</v>
      </c>
      <c r="J68" s="98">
        <f t="shared" ref="J68:S68" si="8">IF(J$38 = "", J49, J49 * J$38)</f>
        <v>1</v>
      </c>
      <c r="K68" s="98">
        <f t="shared" si="8"/>
        <v>1</v>
      </c>
      <c r="L68" s="98">
        <f t="shared" si="8"/>
        <v>1</v>
      </c>
      <c r="M68" s="98">
        <f t="shared" si="8"/>
        <v>1</v>
      </c>
      <c r="N68" s="98">
        <f t="shared" si="8"/>
        <v>1</v>
      </c>
      <c r="O68" s="98">
        <f t="shared" si="8"/>
        <v>1</v>
      </c>
      <c r="P68" s="98">
        <f t="shared" si="8"/>
        <v>0</v>
      </c>
      <c r="Q68" s="98">
        <f t="shared" si="8"/>
        <v>1</v>
      </c>
      <c r="R68" s="98">
        <f t="shared" si="8"/>
        <v>1</v>
      </c>
      <c r="S68" s="98">
        <f t="shared" si="8"/>
        <v>1</v>
      </c>
      <c r="T68" s="79"/>
      <c r="U68" s="79"/>
    </row>
    <row r="69" spans="6:23" x14ac:dyDescent="0.25">
      <c r="F69" t="s">
        <v>949</v>
      </c>
      <c r="G69" s="72" t="s">
        <v>190</v>
      </c>
      <c r="J69" s="98">
        <f t="shared" ref="J69:S69" si="9">IF(J$38 = "", J50, J50 * J$38)</f>
        <v>1</v>
      </c>
      <c r="K69" s="98">
        <f t="shared" si="9"/>
        <v>1</v>
      </c>
      <c r="L69" s="98">
        <f t="shared" si="9"/>
        <v>1</v>
      </c>
      <c r="M69" s="98">
        <f t="shared" si="9"/>
        <v>1</v>
      </c>
      <c r="N69" s="98">
        <f t="shared" si="9"/>
        <v>1</v>
      </c>
      <c r="O69" s="98">
        <f t="shared" si="9"/>
        <v>1</v>
      </c>
      <c r="P69" s="98">
        <f t="shared" si="9"/>
        <v>0</v>
      </c>
      <c r="Q69" s="98">
        <f t="shared" si="9"/>
        <v>1</v>
      </c>
      <c r="R69" s="98">
        <f t="shared" si="9"/>
        <v>1</v>
      </c>
      <c r="S69" s="98">
        <f t="shared" si="9"/>
        <v>1</v>
      </c>
      <c r="T69" s="79"/>
      <c r="U69" s="79"/>
    </row>
    <row r="70" spans="6:23" x14ac:dyDescent="0.25">
      <c r="F70" t="s">
        <v>950</v>
      </c>
      <c r="G70" s="72" t="s">
        <v>190</v>
      </c>
      <c r="J70" s="98">
        <f t="shared" ref="J70:S70" si="10">IF(J$38 = "", J51, J51 * J$38)</f>
        <v>1</v>
      </c>
      <c r="K70" s="98">
        <f t="shared" si="10"/>
        <v>1</v>
      </c>
      <c r="L70" s="98">
        <f t="shared" si="10"/>
        <v>1</v>
      </c>
      <c r="M70" s="98">
        <f t="shared" si="10"/>
        <v>1</v>
      </c>
      <c r="N70" s="98">
        <f t="shared" si="10"/>
        <v>1</v>
      </c>
      <c r="O70" s="98">
        <f t="shared" si="10"/>
        <v>1</v>
      </c>
      <c r="P70" s="98">
        <f t="shared" si="10"/>
        <v>0</v>
      </c>
      <c r="Q70" s="98">
        <f t="shared" si="10"/>
        <v>1</v>
      </c>
      <c r="R70" s="98">
        <f t="shared" si="10"/>
        <v>1</v>
      </c>
      <c r="S70" s="98">
        <f t="shared" si="10"/>
        <v>0</v>
      </c>
      <c r="T70" s="79"/>
      <c r="U70" s="79"/>
    </row>
    <row r="71" spans="6:23" x14ac:dyDescent="0.25">
      <c r="F71" t="s">
        <v>951</v>
      </c>
      <c r="G71" s="72" t="s">
        <v>190</v>
      </c>
      <c r="J71" s="98">
        <f t="shared" ref="J71:S71" si="11">IF(J$38 = "", J52, J52 * J$38)</f>
        <v>1</v>
      </c>
      <c r="K71" s="98">
        <f t="shared" si="11"/>
        <v>1</v>
      </c>
      <c r="L71" s="98">
        <f t="shared" si="11"/>
        <v>1</v>
      </c>
      <c r="M71" s="98">
        <f t="shared" si="11"/>
        <v>1</v>
      </c>
      <c r="N71" s="98">
        <f t="shared" si="11"/>
        <v>1</v>
      </c>
      <c r="O71" s="98">
        <f t="shared" si="11"/>
        <v>1</v>
      </c>
      <c r="P71" s="98">
        <f t="shared" si="11"/>
        <v>0</v>
      </c>
      <c r="Q71" s="98">
        <f t="shared" si="11"/>
        <v>1</v>
      </c>
      <c r="R71" s="98">
        <f t="shared" si="11"/>
        <v>0</v>
      </c>
      <c r="S71" s="98">
        <f t="shared" si="11"/>
        <v>0</v>
      </c>
      <c r="T71" s="79"/>
      <c r="U71" s="79"/>
    </row>
    <row r="72" spans="6:23" x14ac:dyDescent="0.25">
      <c r="F72" t="s">
        <v>952</v>
      </c>
      <c r="G72" s="72" t="s">
        <v>190</v>
      </c>
      <c r="J72" s="98">
        <f t="shared" ref="J72:S72" si="12">IF(J$38 = "", J53, J53 * J$38)</f>
        <v>1</v>
      </c>
      <c r="K72" s="98">
        <f t="shared" si="12"/>
        <v>1</v>
      </c>
      <c r="L72" s="98">
        <f t="shared" si="12"/>
        <v>1</v>
      </c>
      <c r="M72" s="98">
        <f t="shared" si="12"/>
        <v>1</v>
      </c>
      <c r="N72" s="98">
        <f t="shared" si="12"/>
        <v>1</v>
      </c>
      <c r="O72" s="98">
        <f t="shared" si="12"/>
        <v>1</v>
      </c>
      <c r="P72" s="98">
        <f t="shared" si="12"/>
        <v>0</v>
      </c>
      <c r="Q72" s="98">
        <f t="shared" si="12"/>
        <v>1</v>
      </c>
      <c r="R72" s="98">
        <f t="shared" si="12"/>
        <v>1</v>
      </c>
      <c r="S72" s="98">
        <f t="shared" si="12"/>
        <v>1</v>
      </c>
      <c r="T72" s="79"/>
      <c r="U72" s="79"/>
    </row>
    <row r="73" spans="6:23" x14ac:dyDescent="0.25">
      <c r="F73" t="s">
        <v>944</v>
      </c>
      <c r="G73" s="72" t="s">
        <v>190</v>
      </c>
      <c r="J73" s="98">
        <f t="shared" ref="J73:S73" si="13">IF(J$38 = "", J54, J54 * J$38)</f>
        <v>-1</v>
      </c>
      <c r="K73" s="98">
        <f t="shared" si="13"/>
        <v>-1</v>
      </c>
      <c r="L73" s="98">
        <f t="shared" si="13"/>
        <v>-1</v>
      </c>
      <c r="M73" s="98">
        <f t="shared" si="13"/>
        <v>-1</v>
      </c>
      <c r="N73" s="98">
        <f t="shared" si="13"/>
        <v>-1</v>
      </c>
      <c r="O73" s="98">
        <f t="shared" si="13"/>
        <v>-1</v>
      </c>
      <c r="P73" s="98">
        <f t="shared" si="13"/>
        <v>0</v>
      </c>
      <c r="Q73" s="98">
        <f t="shared" si="13"/>
        <v>-1</v>
      </c>
      <c r="R73" s="98">
        <f t="shared" si="13"/>
        <v>-1</v>
      </c>
      <c r="S73" s="98">
        <f t="shared" si="13"/>
        <v>-1</v>
      </c>
      <c r="T73" s="79"/>
      <c r="U73" s="79"/>
    </row>
    <row r="74" spans="6:23" x14ac:dyDescent="0.25">
      <c r="F74" t="s">
        <v>945</v>
      </c>
      <c r="G74" s="72" t="s">
        <v>190</v>
      </c>
      <c r="J74" s="98">
        <f t="shared" ref="J74:S74" si="14">IF(J$38 = "", J55, J55 * J$38)</f>
        <v>-1</v>
      </c>
      <c r="K74" s="98">
        <f t="shared" si="14"/>
        <v>-1</v>
      </c>
      <c r="L74" s="98">
        <f t="shared" si="14"/>
        <v>-1</v>
      </c>
      <c r="M74" s="98">
        <f t="shared" si="14"/>
        <v>-1</v>
      </c>
      <c r="N74" s="98">
        <f t="shared" si="14"/>
        <v>-1</v>
      </c>
      <c r="O74" s="98">
        <f t="shared" si="14"/>
        <v>-1</v>
      </c>
      <c r="P74" s="98">
        <f t="shared" si="14"/>
        <v>0</v>
      </c>
      <c r="Q74" s="98">
        <f t="shared" si="14"/>
        <v>-1</v>
      </c>
      <c r="R74" s="98">
        <f t="shared" si="14"/>
        <v>-1</v>
      </c>
      <c r="S74" s="98">
        <f t="shared" si="14"/>
        <v>0</v>
      </c>
      <c r="T74" s="79"/>
      <c r="U74" s="79"/>
    </row>
    <row r="75" spans="6:23" x14ac:dyDescent="0.25">
      <c r="F75" t="s">
        <v>946</v>
      </c>
      <c r="G75" s="72" t="s">
        <v>190</v>
      </c>
      <c r="J75" s="98">
        <f t="shared" ref="J75:S75" si="15">IF(J$38 = "", J56, J56 * J$38)</f>
        <v>-1</v>
      </c>
      <c r="K75" s="98">
        <f t="shared" si="15"/>
        <v>-1</v>
      </c>
      <c r="L75" s="98">
        <f t="shared" si="15"/>
        <v>-1</v>
      </c>
      <c r="M75" s="98">
        <f t="shared" si="15"/>
        <v>-1</v>
      </c>
      <c r="N75" s="98">
        <f t="shared" si="15"/>
        <v>-1</v>
      </c>
      <c r="O75" s="98">
        <f t="shared" si="15"/>
        <v>-1</v>
      </c>
      <c r="P75" s="98">
        <f t="shared" si="15"/>
        <v>0</v>
      </c>
      <c r="Q75" s="98">
        <f t="shared" si="15"/>
        <v>-1</v>
      </c>
      <c r="R75" s="98">
        <f t="shared" si="15"/>
        <v>-1</v>
      </c>
      <c r="S75" s="98">
        <f t="shared" si="15"/>
        <v>-1</v>
      </c>
      <c r="T75" s="79"/>
      <c r="U75" s="79"/>
    </row>
    <row r="76" spans="6:23" x14ac:dyDescent="0.25">
      <c r="F76" t="s">
        <v>955</v>
      </c>
      <c r="G76" s="72" t="s">
        <v>190</v>
      </c>
      <c r="J76" s="98">
        <f t="shared" ref="J76:S76" si="16">IF(J$38 = "", J57, J57 * J$38)</f>
        <v>-1</v>
      </c>
      <c r="K76" s="98">
        <f t="shared" si="16"/>
        <v>-1</v>
      </c>
      <c r="L76" s="98">
        <f t="shared" si="16"/>
        <v>-1</v>
      </c>
      <c r="M76" s="98">
        <f t="shared" si="16"/>
        <v>-1</v>
      </c>
      <c r="N76" s="98">
        <f t="shared" si="16"/>
        <v>-1</v>
      </c>
      <c r="O76" s="98">
        <f t="shared" si="16"/>
        <v>-1</v>
      </c>
      <c r="P76" s="98">
        <f t="shared" si="16"/>
        <v>0</v>
      </c>
      <c r="Q76" s="98">
        <f t="shared" si="16"/>
        <v>-1</v>
      </c>
      <c r="R76" s="98">
        <f t="shared" si="16"/>
        <v>-1</v>
      </c>
      <c r="S76" s="98">
        <f t="shared" si="16"/>
        <v>-1</v>
      </c>
      <c r="T76" s="79"/>
      <c r="U76" s="79"/>
    </row>
    <row r="77" spans="6:23" x14ac:dyDescent="0.25">
      <c r="F77" t="s">
        <v>947</v>
      </c>
      <c r="G77" s="72" t="s">
        <v>190</v>
      </c>
      <c r="J77" s="98">
        <f t="shared" ref="J77:S77" si="17">IF(J$38 = "", J58, J58 * J$38)</f>
        <v>-1</v>
      </c>
      <c r="K77" s="98">
        <f t="shared" si="17"/>
        <v>-1</v>
      </c>
      <c r="L77" s="98">
        <f t="shared" si="17"/>
        <v>-1</v>
      </c>
      <c r="M77" s="98">
        <f t="shared" si="17"/>
        <v>-1</v>
      </c>
      <c r="N77" s="98">
        <f t="shared" si="17"/>
        <v>-1</v>
      </c>
      <c r="O77" s="98">
        <f t="shared" si="17"/>
        <v>-1</v>
      </c>
      <c r="P77" s="98">
        <f t="shared" si="17"/>
        <v>0</v>
      </c>
      <c r="Q77" s="98">
        <f t="shared" si="17"/>
        <v>-1</v>
      </c>
      <c r="R77" s="98">
        <f t="shared" si="17"/>
        <v>-1</v>
      </c>
      <c r="S77" s="98">
        <f t="shared" si="17"/>
        <v>0</v>
      </c>
      <c r="T77" s="79"/>
      <c r="U77" s="79"/>
    </row>
    <row r="78" spans="6:23" x14ac:dyDescent="0.25">
      <c r="F78" t="s">
        <v>954</v>
      </c>
      <c r="G78" s="72" t="s">
        <v>190</v>
      </c>
      <c r="J78" s="98">
        <f t="shared" ref="J78:S78" si="18">IF(J$38 = "", J59, J59 * J$38)</f>
        <v>-1</v>
      </c>
      <c r="K78" s="98">
        <f t="shared" si="18"/>
        <v>-1</v>
      </c>
      <c r="L78" s="98">
        <f t="shared" si="18"/>
        <v>-1</v>
      </c>
      <c r="M78" s="98">
        <f t="shared" si="18"/>
        <v>-1</v>
      </c>
      <c r="N78" s="98">
        <f t="shared" si="18"/>
        <v>-1</v>
      </c>
      <c r="O78" s="98">
        <f t="shared" si="18"/>
        <v>-1</v>
      </c>
      <c r="P78" s="98">
        <f t="shared" si="18"/>
        <v>0</v>
      </c>
      <c r="Q78" s="98">
        <f t="shared" si="18"/>
        <v>-1</v>
      </c>
      <c r="R78" s="98">
        <f t="shared" si="18"/>
        <v>-1</v>
      </c>
      <c r="S78" s="98">
        <f t="shared" si="18"/>
        <v>0</v>
      </c>
      <c r="T78" s="79"/>
      <c r="U78" s="79"/>
    </row>
    <row r="79" spans="6:23" x14ac:dyDescent="0.25">
      <c r="F79" t="s">
        <v>948</v>
      </c>
      <c r="G79" s="72" t="s">
        <v>190</v>
      </c>
      <c r="J79" s="98">
        <f t="shared" ref="J79:S79" si="19">IF(J$38 = "", J60, J60 * J$38)</f>
        <v>-1</v>
      </c>
      <c r="K79" s="98">
        <f t="shared" si="19"/>
        <v>-1</v>
      </c>
      <c r="L79" s="98">
        <f t="shared" si="19"/>
        <v>-1</v>
      </c>
      <c r="M79" s="98">
        <f t="shared" si="19"/>
        <v>-1</v>
      </c>
      <c r="N79" s="98">
        <f t="shared" si="19"/>
        <v>-1</v>
      </c>
      <c r="O79" s="98">
        <f t="shared" si="19"/>
        <v>-1</v>
      </c>
      <c r="P79" s="98">
        <f t="shared" si="19"/>
        <v>0</v>
      </c>
      <c r="Q79" s="98">
        <f t="shared" si="19"/>
        <v>-1</v>
      </c>
      <c r="R79" s="98">
        <f t="shared" si="19"/>
        <v>0</v>
      </c>
      <c r="S79" s="98">
        <f t="shared" si="19"/>
        <v>0</v>
      </c>
      <c r="T79" s="79"/>
      <c r="U79" s="79"/>
    </row>
    <row r="80" spans="6:23" x14ac:dyDescent="0.25">
      <c r="F80" s="37" t="s">
        <v>953</v>
      </c>
      <c r="G80" s="80" t="s">
        <v>190</v>
      </c>
      <c r="H80" s="37"/>
      <c r="I80" s="37"/>
      <c r="J80" s="100">
        <f t="shared" ref="J80:S80" si="20">IF(J$38 = "", J61, J61 * J$38)</f>
        <v>-1</v>
      </c>
      <c r="K80" s="100">
        <f t="shared" si="20"/>
        <v>-1</v>
      </c>
      <c r="L80" s="100">
        <f t="shared" si="20"/>
        <v>-1</v>
      </c>
      <c r="M80" s="100">
        <f t="shared" si="20"/>
        <v>-1</v>
      </c>
      <c r="N80" s="100">
        <f t="shared" si="20"/>
        <v>-1</v>
      </c>
      <c r="O80" s="100">
        <f t="shared" si="20"/>
        <v>-1</v>
      </c>
      <c r="P80" s="100">
        <f t="shared" si="20"/>
        <v>0</v>
      </c>
      <c r="Q80" s="100">
        <f t="shared" si="20"/>
        <v>-1</v>
      </c>
      <c r="R80" s="100">
        <f t="shared" si="20"/>
        <v>0</v>
      </c>
      <c r="S80" s="100">
        <f t="shared" si="20"/>
        <v>0</v>
      </c>
      <c r="T80" s="81"/>
      <c r="U80" s="81"/>
    </row>
    <row r="81" spans="5:23" x14ac:dyDescent="0.25">
      <c r="G81" s="13"/>
      <c r="J81" s="89"/>
      <c r="K81" s="89"/>
      <c r="L81" s="89"/>
      <c r="M81" s="89"/>
      <c r="N81" s="89"/>
      <c r="O81" s="89"/>
      <c r="P81" s="89"/>
      <c r="Q81" s="89"/>
      <c r="R81" s="89"/>
      <c r="S81" s="89"/>
      <c r="T81" s="89"/>
      <c r="U81" s="89"/>
    </row>
    <row r="82" spans="5:23" x14ac:dyDescent="0.25">
      <c r="E82" s="32" t="s">
        <v>200</v>
      </c>
      <c r="G82" s="13"/>
      <c r="I82" t="s">
        <v>154</v>
      </c>
      <c r="J82" s="89"/>
      <c r="K82" s="89"/>
      <c r="L82" s="89"/>
      <c r="M82" s="89"/>
      <c r="N82" s="89"/>
      <c r="O82" s="89"/>
      <c r="P82" s="89"/>
      <c r="Q82" s="89"/>
      <c r="R82" s="89"/>
      <c r="S82" s="89"/>
      <c r="T82" s="89"/>
      <c r="U82" s="89"/>
      <c r="W82" s="3" t="s">
        <v>402</v>
      </c>
    </row>
    <row r="83" spans="5:23" x14ac:dyDescent="0.25">
      <c r="E83" s="29" t="s">
        <v>202</v>
      </c>
      <c r="G83" s="13"/>
      <c r="J83" s="89"/>
      <c r="K83" s="89"/>
      <c r="L83" s="89"/>
      <c r="M83" s="89"/>
      <c r="N83" s="89"/>
      <c r="O83" s="89"/>
      <c r="P83" s="89"/>
      <c r="Q83" s="89"/>
      <c r="R83" s="89"/>
      <c r="S83" s="89"/>
      <c r="T83" s="89"/>
      <c r="U83" s="89"/>
    </row>
    <row r="84" spans="5:23" x14ac:dyDescent="0.25">
      <c r="F84" s="23" t="s">
        <v>940</v>
      </c>
      <c r="G84" s="78" t="s">
        <v>176</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25">
      <c r="F85" t="s">
        <v>942</v>
      </c>
      <c r="G85" s="72" t="s">
        <v>176</v>
      </c>
      <c r="J85" s="120">
        <v>1</v>
      </c>
      <c r="K85" s="120">
        <v>1</v>
      </c>
      <c r="L85" s="120">
        <v>1</v>
      </c>
      <c r="M85" s="120">
        <v>1</v>
      </c>
      <c r="N85" s="120">
        <v>1</v>
      </c>
      <c r="O85" s="120">
        <v>1</v>
      </c>
      <c r="P85" s="120">
        <v>1</v>
      </c>
      <c r="Q85" s="120">
        <v>1</v>
      </c>
      <c r="R85" s="120">
        <v>1</v>
      </c>
      <c r="S85" s="120">
        <v>1</v>
      </c>
      <c r="T85" s="79"/>
      <c r="U85" s="79"/>
    </row>
    <row r="86" spans="5:23" x14ac:dyDescent="0.25">
      <c r="F86" t="s">
        <v>941</v>
      </c>
      <c r="G86" s="72" t="s">
        <v>176</v>
      </c>
      <c r="J86" s="120">
        <v>1</v>
      </c>
      <c r="K86" s="120">
        <v>1</v>
      </c>
      <c r="L86" s="120">
        <v>1</v>
      </c>
      <c r="M86" s="120">
        <v>1</v>
      </c>
      <c r="N86" s="120">
        <v>1</v>
      </c>
      <c r="O86" s="120">
        <v>1</v>
      </c>
      <c r="P86" s="120">
        <v>1</v>
      </c>
      <c r="Q86" s="120">
        <v>1</v>
      </c>
      <c r="R86" s="120">
        <v>1</v>
      </c>
      <c r="S86" s="120">
        <v>1</v>
      </c>
      <c r="T86" s="79"/>
      <c r="U86" s="79"/>
    </row>
    <row r="87" spans="5:23" x14ac:dyDescent="0.25">
      <c r="F87" t="s">
        <v>943</v>
      </c>
      <c r="G87" s="72" t="s">
        <v>176</v>
      </c>
      <c r="J87" s="120">
        <v>1</v>
      </c>
      <c r="K87" s="120">
        <v>1</v>
      </c>
      <c r="L87" s="120">
        <v>1</v>
      </c>
      <c r="M87" s="120">
        <v>1</v>
      </c>
      <c r="N87" s="120">
        <v>1</v>
      </c>
      <c r="O87" s="120">
        <v>1</v>
      </c>
      <c r="P87" s="120">
        <v>1</v>
      </c>
      <c r="Q87" s="120">
        <v>1</v>
      </c>
      <c r="R87" s="120">
        <v>1</v>
      </c>
      <c r="S87" s="120">
        <v>1</v>
      </c>
      <c r="T87" s="79"/>
      <c r="U87" s="79"/>
    </row>
    <row r="88" spans="5:23" x14ac:dyDescent="0.25">
      <c r="F88" t="s">
        <v>949</v>
      </c>
      <c r="G88" s="72" t="s">
        <v>176</v>
      </c>
      <c r="J88" s="120">
        <v>1</v>
      </c>
      <c r="K88" s="120">
        <v>1</v>
      </c>
      <c r="L88" s="120">
        <v>1</v>
      </c>
      <c r="M88" s="120">
        <v>1</v>
      </c>
      <c r="N88" s="120">
        <v>1</v>
      </c>
      <c r="O88" s="120">
        <v>1</v>
      </c>
      <c r="P88" s="120">
        <v>1</v>
      </c>
      <c r="Q88" s="120">
        <v>1</v>
      </c>
      <c r="R88" s="120">
        <v>1</v>
      </c>
      <c r="S88" s="120">
        <v>1</v>
      </c>
      <c r="T88" s="79"/>
      <c r="U88" s="79"/>
    </row>
    <row r="89" spans="5:23" x14ac:dyDescent="0.25">
      <c r="F89" t="s">
        <v>950</v>
      </c>
      <c r="G89" s="72" t="s">
        <v>176</v>
      </c>
      <c r="J89" s="120">
        <v>1</v>
      </c>
      <c r="K89" s="120">
        <v>1</v>
      </c>
      <c r="L89" s="120">
        <v>1</v>
      </c>
      <c r="M89" s="120">
        <v>1</v>
      </c>
      <c r="N89" s="120">
        <v>1</v>
      </c>
      <c r="O89" s="120">
        <v>1</v>
      </c>
      <c r="P89" s="120">
        <v>1</v>
      </c>
      <c r="Q89" s="120">
        <v>1</v>
      </c>
      <c r="R89" s="120">
        <v>1</v>
      </c>
      <c r="S89" s="120">
        <v>0</v>
      </c>
      <c r="T89" s="79"/>
      <c r="U89" s="79"/>
    </row>
    <row r="90" spans="5:23" x14ac:dyDescent="0.25">
      <c r="F90" t="s">
        <v>951</v>
      </c>
      <c r="G90" s="72" t="s">
        <v>176</v>
      </c>
      <c r="J90" s="120">
        <v>1</v>
      </c>
      <c r="K90" s="120">
        <v>1</v>
      </c>
      <c r="L90" s="120">
        <v>1</v>
      </c>
      <c r="M90" s="120">
        <v>1</v>
      </c>
      <c r="N90" s="120">
        <v>1</v>
      </c>
      <c r="O90" s="120">
        <v>1</v>
      </c>
      <c r="P90" s="120">
        <v>1</v>
      </c>
      <c r="Q90" s="120">
        <v>1</v>
      </c>
      <c r="R90" s="120">
        <v>0</v>
      </c>
      <c r="S90" s="120">
        <v>0</v>
      </c>
      <c r="T90" s="79"/>
      <c r="U90" s="79"/>
    </row>
    <row r="91" spans="5:23" x14ac:dyDescent="0.25">
      <c r="F91" t="s">
        <v>952</v>
      </c>
      <c r="G91" s="72" t="s">
        <v>176</v>
      </c>
      <c r="J91" s="120">
        <v>1</v>
      </c>
      <c r="K91" s="120">
        <v>1</v>
      </c>
      <c r="L91" s="120">
        <v>1</v>
      </c>
      <c r="M91" s="120">
        <v>1</v>
      </c>
      <c r="N91" s="120">
        <v>1</v>
      </c>
      <c r="O91" s="120">
        <v>1</v>
      </c>
      <c r="P91" s="120">
        <v>1</v>
      </c>
      <c r="Q91" s="120">
        <v>1</v>
      </c>
      <c r="R91" s="120">
        <v>1</v>
      </c>
      <c r="S91" s="120">
        <v>1</v>
      </c>
      <c r="T91" s="79"/>
      <c r="U91" s="79"/>
    </row>
    <row r="92" spans="5:23" x14ac:dyDescent="0.25">
      <c r="F92" t="s">
        <v>944</v>
      </c>
      <c r="G92" s="72" t="s">
        <v>176</v>
      </c>
      <c r="J92" s="120">
        <v>-1</v>
      </c>
      <c r="K92" s="120">
        <v>-1</v>
      </c>
      <c r="L92" s="120">
        <v>-1</v>
      </c>
      <c r="M92" s="120">
        <v>-1</v>
      </c>
      <c r="N92" s="120">
        <v>-1</v>
      </c>
      <c r="O92" s="120">
        <v>-1</v>
      </c>
      <c r="P92" s="120">
        <v>-1</v>
      </c>
      <c r="Q92" s="120">
        <v>-1</v>
      </c>
      <c r="R92" s="120">
        <v>-1</v>
      </c>
      <c r="S92" s="120">
        <v>0</v>
      </c>
      <c r="T92" s="79"/>
      <c r="U92" s="79"/>
    </row>
    <row r="93" spans="5:23" x14ac:dyDescent="0.25">
      <c r="F93" t="s">
        <v>945</v>
      </c>
      <c r="G93" s="72" t="s">
        <v>176</v>
      </c>
      <c r="J93" s="120">
        <v>-1</v>
      </c>
      <c r="K93" s="120">
        <v>-1</v>
      </c>
      <c r="L93" s="120">
        <v>-1</v>
      </c>
      <c r="M93" s="120">
        <v>-1</v>
      </c>
      <c r="N93" s="120">
        <v>-1</v>
      </c>
      <c r="O93" s="120">
        <v>-1</v>
      </c>
      <c r="P93" s="120">
        <v>-1</v>
      </c>
      <c r="Q93" s="120">
        <v>-1</v>
      </c>
      <c r="R93" s="120">
        <v>0</v>
      </c>
      <c r="S93" s="120">
        <v>0</v>
      </c>
      <c r="T93" s="79"/>
      <c r="U93" s="79"/>
    </row>
    <row r="94" spans="5:23" x14ac:dyDescent="0.25">
      <c r="F94" t="s">
        <v>946</v>
      </c>
      <c r="G94" s="72" t="s">
        <v>176</v>
      </c>
      <c r="J94" s="120">
        <v>-1</v>
      </c>
      <c r="K94" s="120">
        <v>-1</v>
      </c>
      <c r="L94" s="120">
        <v>-1</v>
      </c>
      <c r="M94" s="120">
        <v>-1</v>
      </c>
      <c r="N94" s="120">
        <v>-1</v>
      </c>
      <c r="O94" s="120">
        <v>-1</v>
      </c>
      <c r="P94" s="120">
        <v>-1</v>
      </c>
      <c r="Q94" s="120">
        <v>-1</v>
      </c>
      <c r="R94" s="120">
        <v>-1</v>
      </c>
      <c r="S94" s="120">
        <v>0</v>
      </c>
      <c r="T94" s="79"/>
      <c r="U94" s="79"/>
    </row>
    <row r="95" spans="5:23" x14ac:dyDescent="0.25">
      <c r="F95" t="s">
        <v>955</v>
      </c>
      <c r="G95" s="72" t="s">
        <v>176</v>
      </c>
      <c r="J95" s="120">
        <v>-1</v>
      </c>
      <c r="K95" s="120">
        <v>-1</v>
      </c>
      <c r="L95" s="120">
        <v>-1</v>
      </c>
      <c r="M95" s="120">
        <v>-1</v>
      </c>
      <c r="N95" s="120">
        <v>-1</v>
      </c>
      <c r="O95" s="120">
        <v>-1</v>
      </c>
      <c r="P95" s="120">
        <v>-1</v>
      </c>
      <c r="Q95" s="120">
        <v>-1</v>
      </c>
      <c r="R95" s="120">
        <v>-1</v>
      </c>
      <c r="S95" s="120">
        <v>0</v>
      </c>
      <c r="T95" s="79"/>
      <c r="U95" s="79"/>
    </row>
    <row r="96" spans="5:23" x14ac:dyDescent="0.25">
      <c r="F96" t="s">
        <v>947</v>
      </c>
      <c r="G96" s="72" t="s">
        <v>176</v>
      </c>
      <c r="J96" s="120">
        <v>-1</v>
      </c>
      <c r="K96" s="120">
        <v>-1</v>
      </c>
      <c r="L96" s="120">
        <v>-1</v>
      </c>
      <c r="M96" s="120">
        <v>-1</v>
      </c>
      <c r="N96" s="120">
        <v>-1</v>
      </c>
      <c r="O96" s="120">
        <v>-1</v>
      </c>
      <c r="P96" s="120">
        <v>-1</v>
      </c>
      <c r="Q96" s="120">
        <v>-1</v>
      </c>
      <c r="R96" s="120">
        <v>0</v>
      </c>
      <c r="S96" s="120">
        <v>0</v>
      </c>
      <c r="T96" s="79"/>
      <c r="U96" s="79"/>
    </row>
    <row r="97" spans="5:23" x14ac:dyDescent="0.25">
      <c r="F97" t="s">
        <v>954</v>
      </c>
      <c r="G97" s="72" t="s">
        <v>176</v>
      </c>
      <c r="J97" s="120">
        <v>-1</v>
      </c>
      <c r="K97" s="120">
        <v>-1</v>
      </c>
      <c r="L97" s="120">
        <v>-1</v>
      </c>
      <c r="M97" s="120">
        <v>-1</v>
      </c>
      <c r="N97" s="120">
        <v>-1</v>
      </c>
      <c r="O97" s="120">
        <v>-1</v>
      </c>
      <c r="P97" s="120">
        <v>-1</v>
      </c>
      <c r="Q97" s="120">
        <v>-1</v>
      </c>
      <c r="R97" s="120">
        <v>0</v>
      </c>
      <c r="S97" s="120">
        <v>0</v>
      </c>
      <c r="T97" s="79"/>
      <c r="U97" s="79"/>
    </row>
    <row r="98" spans="5:23" x14ac:dyDescent="0.25">
      <c r="F98" t="s">
        <v>948</v>
      </c>
      <c r="G98" s="72" t="s">
        <v>176</v>
      </c>
      <c r="J98" s="120">
        <v>-1</v>
      </c>
      <c r="K98" s="120">
        <v>-1</v>
      </c>
      <c r="L98" s="120">
        <v>-1</v>
      </c>
      <c r="M98" s="120">
        <v>-1</v>
      </c>
      <c r="N98" s="120">
        <v>-1</v>
      </c>
      <c r="O98" s="120">
        <v>-1</v>
      </c>
      <c r="P98" s="120">
        <v>-1</v>
      </c>
      <c r="Q98" s="120">
        <v>0</v>
      </c>
      <c r="R98" s="120">
        <v>0</v>
      </c>
      <c r="S98" s="120">
        <v>0</v>
      </c>
      <c r="T98" s="79"/>
      <c r="U98" s="79"/>
    </row>
    <row r="99" spans="5:23" x14ac:dyDescent="0.25">
      <c r="F99" s="37" t="s">
        <v>953</v>
      </c>
      <c r="G99" s="80" t="s">
        <v>176</v>
      </c>
      <c r="H99" s="37"/>
      <c r="I99" s="37"/>
      <c r="J99" s="125">
        <v>-1</v>
      </c>
      <c r="K99" s="125">
        <v>-1</v>
      </c>
      <c r="L99" s="125">
        <v>-1</v>
      </c>
      <c r="M99" s="125">
        <v>-1</v>
      </c>
      <c r="N99" s="125">
        <v>-1</v>
      </c>
      <c r="O99" s="125">
        <v>-1</v>
      </c>
      <c r="P99" s="125">
        <v>-1</v>
      </c>
      <c r="Q99" s="125">
        <v>0</v>
      </c>
      <c r="R99" s="125">
        <v>0</v>
      </c>
      <c r="S99" s="125">
        <v>0</v>
      </c>
      <c r="T99" s="81"/>
      <c r="U99" s="81"/>
    </row>
    <row r="100" spans="5:23" x14ac:dyDescent="0.25">
      <c r="G100" s="13"/>
      <c r="J100" s="89"/>
      <c r="K100" s="89"/>
      <c r="L100" s="89"/>
      <c r="M100" s="89"/>
      <c r="N100" s="89"/>
      <c r="O100" s="89"/>
      <c r="P100" s="89"/>
      <c r="Q100" s="89"/>
      <c r="R100" s="89"/>
      <c r="S100" s="89"/>
      <c r="T100" s="89"/>
      <c r="U100" s="89"/>
    </row>
    <row r="101" spans="5:23" x14ac:dyDescent="0.25">
      <c r="E101" s="32" t="s">
        <v>403</v>
      </c>
      <c r="G101" s="13"/>
      <c r="I101" t="s">
        <v>154</v>
      </c>
      <c r="J101" s="89"/>
      <c r="K101" s="89"/>
      <c r="L101" s="89"/>
      <c r="M101" s="89"/>
      <c r="N101" s="89"/>
      <c r="O101" s="89"/>
      <c r="P101" s="89"/>
      <c r="Q101" s="89"/>
      <c r="R101" s="89"/>
      <c r="S101" s="89"/>
      <c r="T101" s="89"/>
      <c r="U101" s="89"/>
      <c r="W101" s="3" t="s">
        <v>402</v>
      </c>
    </row>
    <row r="102" spans="5:23" x14ac:dyDescent="0.25">
      <c r="E102" s="29" t="s">
        <v>202</v>
      </c>
      <c r="G102" s="13"/>
      <c r="J102" s="89"/>
      <c r="K102" s="89"/>
      <c r="L102" s="89"/>
      <c r="M102" s="89"/>
      <c r="N102" s="89"/>
      <c r="O102" s="89"/>
      <c r="P102" s="89"/>
      <c r="Q102" s="89"/>
      <c r="R102" s="89"/>
      <c r="S102" s="89"/>
      <c r="T102" s="89"/>
      <c r="U102" s="89"/>
    </row>
    <row r="103" spans="5:23" x14ac:dyDescent="0.25">
      <c r="E103" s="29" t="s">
        <v>401</v>
      </c>
      <c r="G103" s="13"/>
      <c r="J103" s="89"/>
      <c r="K103" s="89"/>
      <c r="L103" s="89"/>
      <c r="M103" s="89"/>
      <c r="N103" s="89"/>
      <c r="O103" s="89"/>
      <c r="P103" s="89"/>
      <c r="Q103" s="89"/>
      <c r="R103" s="89"/>
      <c r="S103" s="89"/>
      <c r="T103" s="89"/>
      <c r="U103" s="89"/>
    </row>
    <row r="104" spans="5:23" x14ac:dyDescent="0.25">
      <c r="F104" s="23" t="s">
        <v>940</v>
      </c>
      <c r="G104" s="78" t="s">
        <v>176</v>
      </c>
      <c r="H104" s="23"/>
      <c r="I104" s="23"/>
      <c r="J104" s="126">
        <f t="shared" ref="J104:S104" si="21">IF(J$38 = "", J84, J84 * J$38)</f>
        <v>1</v>
      </c>
      <c r="K104" s="126">
        <f t="shared" si="21"/>
        <v>1</v>
      </c>
      <c r="L104" s="126">
        <f t="shared" si="21"/>
        <v>1</v>
      </c>
      <c r="M104" s="126">
        <f t="shared" si="21"/>
        <v>1</v>
      </c>
      <c r="N104" s="126">
        <f t="shared" si="21"/>
        <v>1</v>
      </c>
      <c r="O104" s="126">
        <f t="shared" si="21"/>
        <v>1</v>
      </c>
      <c r="P104" s="126">
        <f t="shared" si="21"/>
        <v>0</v>
      </c>
      <c r="Q104" s="126">
        <f t="shared" si="21"/>
        <v>1</v>
      </c>
      <c r="R104" s="126">
        <f t="shared" si="21"/>
        <v>1</v>
      </c>
      <c r="S104" s="126">
        <f t="shared" si="21"/>
        <v>1</v>
      </c>
      <c r="T104" s="83"/>
      <c r="U104" s="83"/>
    </row>
    <row r="105" spans="5:23" x14ac:dyDescent="0.25">
      <c r="F105" t="s">
        <v>942</v>
      </c>
      <c r="G105" s="72" t="s">
        <v>176</v>
      </c>
      <c r="J105" s="98">
        <f t="shared" ref="J105:S105" si="22">IF(J$38 = "", J85, J85 * J$38)</f>
        <v>1</v>
      </c>
      <c r="K105" s="98">
        <f t="shared" si="22"/>
        <v>1</v>
      </c>
      <c r="L105" s="98">
        <f t="shared" si="22"/>
        <v>1</v>
      </c>
      <c r="M105" s="98">
        <f t="shared" si="22"/>
        <v>1</v>
      </c>
      <c r="N105" s="98">
        <f t="shared" si="22"/>
        <v>1</v>
      </c>
      <c r="O105" s="98">
        <f t="shared" si="22"/>
        <v>1</v>
      </c>
      <c r="P105" s="98">
        <f t="shared" si="22"/>
        <v>0</v>
      </c>
      <c r="Q105" s="98">
        <f t="shared" si="22"/>
        <v>1</v>
      </c>
      <c r="R105" s="98">
        <f t="shared" si="22"/>
        <v>1</v>
      </c>
      <c r="S105" s="98">
        <f t="shared" si="22"/>
        <v>1</v>
      </c>
      <c r="T105" s="79"/>
      <c r="U105" s="79"/>
    </row>
    <row r="106" spans="5:23" x14ac:dyDescent="0.25">
      <c r="F106" t="s">
        <v>941</v>
      </c>
      <c r="G106" s="72" t="s">
        <v>176</v>
      </c>
      <c r="J106" s="98">
        <f t="shared" ref="J106:S106" si="23">IF(J$38 = "", J86, J86 * J$38)</f>
        <v>1</v>
      </c>
      <c r="K106" s="98">
        <f t="shared" si="23"/>
        <v>1</v>
      </c>
      <c r="L106" s="98">
        <f t="shared" si="23"/>
        <v>1</v>
      </c>
      <c r="M106" s="98">
        <f t="shared" si="23"/>
        <v>1</v>
      </c>
      <c r="N106" s="98">
        <f t="shared" si="23"/>
        <v>1</v>
      </c>
      <c r="O106" s="98">
        <f t="shared" si="23"/>
        <v>1</v>
      </c>
      <c r="P106" s="98">
        <f t="shared" si="23"/>
        <v>0</v>
      </c>
      <c r="Q106" s="98">
        <f t="shared" si="23"/>
        <v>1</v>
      </c>
      <c r="R106" s="98">
        <f t="shared" si="23"/>
        <v>1</v>
      </c>
      <c r="S106" s="98">
        <f t="shared" si="23"/>
        <v>1</v>
      </c>
      <c r="T106" s="79"/>
      <c r="U106" s="79"/>
    </row>
    <row r="107" spans="5:23" x14ac:dyDescent="0.25">
      <c r="F107" t="s">
        <v>943</v>
      </c>
      <c r="G107" s="72" t="s">
        <v>176</v>
      </c>
      <c r="J107" s="98">
        <f t="shared" ref="J107:S107" si="24">IF(J$38 = "", J87, J87 * J$38)</f>
        <v>1</v>
      </c>
      <c r="K107" s="98">
        <f t="shared" si="24"/>
        <v>1</v>
      </c>
      <c r="L107" s="98">
        <f t="shared" si="24"/>
        <v>1</v>
      </c>
      <c r="M107" s="98">
        <f t="shared" si="24"/>
        <v>1</v>
      </c>
      <c r="N107" s="98">
        <f t="shared" si="24"/>
        <v>1</v>
      </c>
      <c r="O107" s="98">
        <f t="shared" si="24"/>
        <v>1</v>
      </c>
      <c r="P107" s="98">
        <f t="shared" si="24"/>
        <v>0</v>
      </c>
      <c r="Q107" s="98">
        <f t="shared" si="24"/>
        <v>1</v>
      </c>
      <c r="R107" s="98">
        <f t="shared" si="24"/>
        <v>1</v>
      </c>
      <c r="S107" s="98">
        <f t="shared" si="24"/>
        <v>1</v>
      </c>
      <c r="T107" s="79"/>
      <c r="U107" s="79"/>
    </row>
    <row r="108" spans="5:23" x14ac:dyDescent="0.25">
      <c r="F108" t="s">
        <v>949</v>
      </c>
      <c r="G108" s="72" t="s">
        <v>176</v>
      </c>
      <c r="J108" s="98">
        <f t="shared" ref="J108:S108" si="25">IF(J$38 = "", J88, J88 * J$38)</f>
        <v>1</v>
      </c>
      <c r="K108" s="98">
        <f t="shared" si="25"/>
        <v>1</v>
      </c>
      <c r="L108" s="98">
        <f t="shared" si="25"/>
        <v>1</v>
      </c>
      <c r="M108" s="98">
        <f t="shared" si="25"/>
        <v>1</v>
      </c>
      <c r="N108" s="98">
        <f t="shared" si="25"/>
        <v>1</v>
      </c>
      <c r="O108" s="98">
        <f t="shared" si="25"/>
        <v>1</v>
      </c>
      <c r="P108" s="98">
        <f t="shared" si="25"/>
        <v>0</v>
      </c>
      <c r="Q108" s="98">
        <f t="shared" si="25"/>
        <v>1</v>
      </c>
      <c r="R108" s="98">
        <f t="shared" si="25"/>
        <v>1</v>
      </c>
      <c r="S108" s="98">
        <f t="shared" si="25"/>
        <v>1</v>
      </c>
      <c r="T108" s="79"/>
      <c r="U108" s="79"/>
    </row>
    <row r="109" spans="5:23" x14ac:dyDescent="0.25">
      <c r="F109" t="s">
        <v>950</v>
      </c>
      <c r="G109" s="72" t="s">
        <v>176</v>
      </c>
      <c r="J109" s="98">
        <f t="shared" ref="J109:S109" si="26">IF(J$38 = "", J89, J89 * J$38)</f>
        <v>1</v>
      </c>
      <c r="K109" s="98">
        <f t="shared" si="26"/>
        <v>1</v>
      </c>
      <c r="L109" s="98">
        <f t="shared" si="26"/>
        <v>1</v>
      </c>
      <c r="M109" s="98">
        <f t="shared" si="26"/>
        <v>1</v>
      </c>
      <c r="N109" s="98">
        <f t="shared" si="26"/>
        <v>1</v>
      </c>
      <c r="O109" s="98">
        <f t="shared" si="26"/>
        <v>1</v>
      </c>
      <c r="P109" s="98">
        <f t="shared" si="26"/>
        <v>0</v>
      </c>
      <c r="Q109" s="98">
        <f t="shared" si="26"/>
        <v>1</v>
      </c>
      <c r="R109" s="98">
        <f t="shared" si="26"/>
        <v>1</v>
      </c>
      <c r="S109" s="98">
        <f t="shared" si="26"/>
        <v>0</v>
      </c>
      <c r="T109" s="79"/>
      <c r="U109" s="79"/>
    </row>
    <row r="110" spans="5:23" x14ac:dyDescent="0.25">
      <c r="F110" t="s">
        <v>951</v>
      </c>
      <c r="G110" s="72" t="s">
        <v>176</v>
      </c>
      <c r="J110" s="98">
        <f t="shared" ref="J110:S110" si="27">IF(J$38 = "", J90, J90 * J$38)</f>
        <v>1</v>
      </c>
      <c r="K110" s="98">
        <f t="shared" si="27"/>
        <v>1</v>
      </c>
      <c r="L110" s="98">
        <f t="shared" si="27"/>
        <v>1</v>
      </c>
      <c r="M110" s="98">
        <f t="shared" si="27"/>
        <v>1</v>
      </c>
      <c r="N110" s="98">
        <f t="shared" si="27"/>
        <v>1</v>
      </c>
      <c r="O110" s="98">
        <f t="shared" si="27"/>
        <v>1</v>
      </c>
      <c r="P110" s="98">
        <f t="shared" si="27"/>
        <v>0</v>
      </c>
      <c r="Q110" s="98">
        <f t="shared" si="27"/>
        <v>1</v>
      </c>
      <c r="R110" s="98">
        <f t="shared" si="27"/>
        <v>0</v>
      </c>
      <c r="S110" s="98">
        <f t="shared" si="27"/>
        <v>0</v>
      </c>
      <c r="T110" s="79"/>
      <c r="U110" s="79"/>
    </row>
    <row r="111" spans="5:23" x14ac:dyDescent="0.25">
      <c r="F111" t="s">
        <v>952</v>
      </c>
      <c r="G111" s="72" t="s">
        <v>176</v>
      </c>
      <c r="J111" s="98">
        <f t="shared" ref="J111:S111" si="28">IF(J$38 = "", J91, J91 * J$38)</f>
        <v>1</v>
      </c>
      <c r="K111" s="98">
        <f t="shared" si="28"/>
        <v>1</v>
      </c>
      <c r="L111" s="98">
        <f t="shared" si="28"/>
        <v>1</v>
      </c>
      <c r="M111" s="98">
        <f t="shared" si="28"/>
        <v>1</v>
      </c>
      <c r="N111" s="98">
        <f t="shared" si="28"/>
        <v>1</v>
      </c>
      <c r="O111" s="98">
        <f t="shared" si="28"/>
        <v>1</v>
      </c>
      <c r="P111" s="98">
        <f t="shared" si="28"/>
        <v>0</v>
      </c>
      <c r="Q111" s="98">
        <f t="shared" si="28"/>
        <v>1</v>
      </c>
      <c r="R111" s="98">
        <f t="shared" si="28"/>
        <v>1</v>
      </c>
      <c r="S111" s="98">
        <f t="shared" si="28"/>
        <v>1</v>
      </c>
      <c r="T111" s="79"/>
      <c r="U111" s="79"/>
    </row>
    <row r="112" spans="5:23" x14ac:dyDescent="0.25">
      <c r="F112" t="s">
        <v>944</v>
      </c>
      <c r="G112" s="72" t="s">
        <v>176</v>
      </c>
      <c r="J112" s="98">
        <f t="shared" ref="J112:S112" si="29">IF(J$38 = "", J92, J92 * J$38)</f>
        <v>-1</v>
      </c>
      <c r="K112" s="98">
        <f t="shared" si="29"/>
        <v>-1</v>
      </c>
      <c r="L112" s="98">
        <f t="shared" si="29"/>
        <v>-1</v>
      </c>
      <c r="M112" s="98">
        <f t="shared" si="29"/>
        <v>-1</v>
      </c>
      <c r="N112" s="98">
        <f t="shared" si="29"/>
        <v>-1</v>
      </c>
      <c r="O112" s="98">
        <f t="shared" si="29"/>
        <v>-1</v>
      </c>
      <c r="P112" s="98">
        <f t="shared" si="29"/>
        <v>0</v>
      </c>
      <c r="Q112" s="98">
        <f t="shared" si="29"/>
        <v>-1</v>
      </c>
      <c r="R112" s="98">
        <f t="shared" si="29"/>
        <v>-1</v>
      </c>
      <c r="S112" s="98">
        <f t="shared" si="29"/>
        <v>0</v>
      </c>
      <c r="T112" s="79"/>
      <c r="U112" s="79"/>
    </row>
    <row r="113" spans="3:23" x14ac:dyDescent="0.25">
      <c r="F113" t="s">
        <v>945</v>
      </c>
      <c r="G113" s="72" t="s">
        <v>176</v>
      </c>
      <c r="J113" s="98">
        <f t="shared" ref="J113:S113" si="30">IF(J$38 = "", J93, J93 * J$38)</f>
        <v>-1</v>
      </c>
      <c r="K113" s="98">
        <f t="shared" si="30"/>
        <v>-1</v>
      </c>
      <c r="L113" s="98">
        <f t="shared" si="30"/>
        <v>-1</v>
      </c>
      <c r="M113" s="98">
        <f t="shared" si="30"/>
        <v>-1</v>
      </c>
      <c r="N113" s="98">
        <f t="shared" si="30"/>
        <v>-1</v>
      </c>
      <c r="O113" s="98">
        <f t="shared" si="30"/>
        <v>-1</v>
      </c>
      <c r="P113" s="98">
        <f t="shared" si="30"/>
        <v>0</v>
      </c>
      <c r="Q113" s="98">
        <f t="shared" si="30"/>
        <v>-1</v>
      </c>
      <c r="R113" s="98">
        <f t="shared" si="30"/>
        <v>0</v>
      </c>
      <c r="S113" s="98">
        <f t="shared" si="30"/>
        <v>0</v>
      </c>
      <c r="T113" s="79"/>
      <c r="U113" s="79"/>
    </row>
    <row r="114" spans="3:23" x14ac:dyDescent="0.25">
      <c r="F114" t="s">
        <v>946</v>
      </c>
      <c r="G114" s="72" t="s">
        <v>176</v>
      </c>
      <c r="J114" s="98">
        <f t="shared" ref="J114:S114" si="31">IF(J$38 = "", J94, J94 * J$38)</f>
        <v>-1</v>
      </c>
      <c r="K114" s="98">
        <f t="shared" si="31"/>
        <v>-1</v>
      </c>
      <c r="L114" s="98">
        <f t="shared" si="31"/>
        <v>-1</v>
      </c>
      <c r="M114" s="98">
        <f t="shared" si="31"/>
        <v>-1</v>
      </c>
      <c r="N114" s="98">
        <f t="shared" si="31"/>
        <v>-1</v>
      </c>
      <c r="O114" s="98">
        <f t="shared" si="31"/>
        <v>-1</v>
      </c>
      <c r="P114" s="98">
        <f t="shared" si="31"/>
        <v>0</v>
      </c>
      <c r="Q114" s="98">
        <f t="shared" si="31"/>
        <v>-1</v>
      </c>
      <c r="R114" s="98">
        <f t="shared" si="31"/>
        <v>-1</v>
      </c>
      <c r="S114" s="98">
        <f t="shared" si="31"/>
        <v>0</v>
      </c>
      <c r="T114" s="79"/>
      <c r="U114" s="79"/>
    </row>
    <row r="115" spans="3:23" x14ac:dyDescent="0.25">
      <c r="F115" t="s">
        <v>955</v>
      </c>
      <c r="G115" s="72" t="s">
        <v>176</v>
      </c>
      <c r="J115" s="98">
        <f t="shared" ref="J115:S115" si="32">IF(J$38 = "", J95, J95 * J$38)</f>
        <v>-1</v>
      </c>
      <c r="K115" s="98">
        <f t="shared" si="32"/>
        <v>-1</v>
      </c>
      <c r="L115" s="98">
        <f t="shared" si="32"/>
        <v>-1</v>
      </c>
      <c r="M115" s="98">
        <f t="shared" si="32"/>
        <v>-1</v>
      </c>
      <c r="N115" s="98">
        <f t="shared" si="32"/>
        <v>-1</v>
      </c>
      <c r="O115" s="98">
        <f t="shared" si="32"/>
        <v>-1</v>
      </c>
      <c r="P115" s="98">
        <f t="shared" si="32"/>
        <v>0</v>
      </c>
      <c r="Q115" s="98">
        <f t="shared" si="32"/>
        <v>-1</v>
      </c>
      <c r="R115" s="98">
        <f t="shared" si="32"/>
        <v>-1</v>
      </c>
      <c r="S115" s="98">
        <f t="shared" si="32"/>
        <v>0</v>
      </c>
      <c r="T115" s="79"/>
      <c r="U115" s="79"/>
    </row>
    <row r="116" spans="3:23" x14ac:dyDescent="0.25">
      <c r="F116" t="s">
        <v>947</v>
      </c>
      <c r="G116" s="72" t="s">
        <v>176</v>
      </c>
      <c r="J116" s="98">
        <f t="shared" ref="J116:S116" si="33">IF(J$38 = "", J96, J96 * J$38)</f>
        <v>-1</v>
      </c>
      <c r="K116" s="98">
        <f t="shared" si="33"/>
        <v>-1</v>
      </c>
      <c r="L116" s="98">
        <f t="shared" si="33"/>
        <v>-1</v>
      </c>
      <c r="M116" s="98">
        <f t="shared" si="33"/>
        <v>-1</v>
      </c>
      <c r="N116" s="98">
        <f t="shared" si="33"/>
        <v>-1</v>
      </c>
      <c r="O116" s="98">
        <f t="shared" si="33"/>
        <v>-1</v>
      </c>
      <c r="P116" s="98">
        <f t="shared" si="33"/>
        <v>0</v>
      </c>
      <c r="Q116" s="98">
        <f t="shared" si="33"/>
        <v>-1</v>
      </c>
      <c r="R116" s="98">
        <f t="shared" si="33"/>
        <v>0</v>
      </c>
      <c r="S116" s="98">
        <f t="shared" si="33"/>
        <v>0</v>
      </c>
      <c r="T116" s="79"/>
      <c r="U116" s="79"/>
    </row>
    <row r="117" spans="3:23" x14ac:dyDescent="0.25">
      <c r="F117" t="s">
        <v>954</v>
      </c>
      <c r="G117" s="72" t="s">
        <v>176</v>
      </c>
      <c r="J117" s="98">
        <f t="shared" ref="J117:S117" si="34">IF(J$38 = "", J97, J97 * J$38)</f>
        <v>-1</v>
      </c>
      <c r="K117" s="98">
        <f t="shared" si="34"/>
        <v>-1</v>
      </c>
      <c r="L117" s="98">
        <f t="shared" si="34"/>
        <v>-1</v>
      </c>
      <c r="M117" s="98">
        <f t="shared" si="34"/>
        <v>-1</v>
      </c>
      <c r="N117" s="98">
        <f t="shared" si="34"/>
        <v>-1</v>
      </c>
      <c r="O117" s="98">
        <f t="shared" si="34"/>
        <v>-1</v>
      </c>
      <c r="P117" s="98">
        <f t="shared" si="34"/>
        <v>0</v>
      </c>
      <c r="Q117" s="98">
        <f t="shared" si="34"/>
        <v>-1</v>
      </c>
      <c r="R117" s="98">
        <f t="shared" si="34"/>
        <v>0</v>
      </c>
      <c r="S117" s="98">
        <f t="shared" si="34"/>
        <v>0</v>
      </c>
      <c r="T117" s="79"/>
      <c r="U117" s="79"/>
    </row>
    <row r="118" spans="3:23" x14ac:dyDescent="0.25">
      <c r="F118" t="s">
        <v>948</v>
      </c>
      <c r="G118" s="72" t="s">
        <v>176</v>
      </c>
      <c r="J118" s="98">
        <f t="shared" ref="J118:S118" si="35">IF(J$38 = "", J98, J98 * J$38)</f>
        <v>-1</v>
      </c>
      <c r="K118" s="98">
        <f t="shared" si="35"/>
        <v>-1</v>
      </c>
      <c r="L118" s="98">
        <f t="shared" si="35"/>
        <v>-1</v>
      </c>
      <c r="M118" s="98">
        <f t="shared" si="35"/>
        <v>-1</v>
      </c>
      <c r="N118" s="98">
        <f t="shared" si="35"/>
        <v>-1</v>
      </c>
      <c r="O118" s="98">
        <f t="shared" si="35"/>
        <v>-1</v>
      </c>
      <c r="P118" s="98">
        <f t="shared" si="35"/>
        <v>0</v>
      </c>
      <c r="Q118" s="98">
        <f t="shared" si="35"/>
        <v>0</v>
      </c>
      <c r="R118" s="98">
        <f t="shared" si="35"/>
        <v>0</v>
      </c>
      <c r="S118" s="98">
        <f t="shared" si="35"/>
        <v>0</v>
      </c>
      <c r="T118" s="79"/>
      <c r="U118" s="79"/>
    </row>
    <row r="119" spans="3:23" x14ac:dyDescent="0.25">
      <c r="F119" s="37" t="s">
        <v>953</v>
      </c>
      <c r="G119" s="80" t="s">
        <v>176</v>
      </c>
      <c r="H119" s="37"/>
      <c r="I119" s="37"/>
      <c r="J119" s="100">
        <f t="shared" ref="J119:S119" si="36">IF(J$38 = "", J99, J99 * J$38)</f>
        <v>-1</v>
      </c>
      <c r="K119" s="100">
        <f t="shared" si="36"/>
        <v>-1</v>
      </c>
      <c r="L119" s="100">
        <f t="shared" si="36"/>
        <v>-1</v>
      </c>
      <c r="M119" s="100">
        <f t="shared" si="36"/>
        <v>-1</v>
      </c>
      <c r="N119" s="100">
        <f t="shared" si="36"/>
        <v>-1</v>
      </c>
      <c r="O119" s="100">
        <f t="shared" si="36"/>
        <v>-1</v>
      </c>
      <c r="P119" s="100">
        <f t="shared" si="36"/>
        <v>0</v>
      </c>
      <c r="Q119" s="100">
        <f t="shared" si="36"/>
        <v>0</v>
      </c>
      <c r="R119" s="100">
        <f t="shared" si="36"/>
        <v>0</v>
      </c>
      <c r="S119" s="100">
        <f t="shared" si="36"/>
        <v>0</v>
      </c>
      <c r="T119" s="81"/>
      <c r="U119" s="81"/>
    </row>
    <row r="120" spans="3:23" x14ac:dyDescent="0.25">
      <c r="G120" s="13"/>
      <c r="J120" s="89"/>
      <c r="K120" s="89"/>
      <c r="L120" s="89"/>
      <c r="M120" s="89"/>
      <c r="N120" s="89"/>
      <c r="O120" s="89"/>
      <c r="P120" s="89"/>
      <c r="Q120" s="89"/>
      <c r="R120" s="89"/>
      <c r="S120" s="89"/>
      <c r="T120" s="89"/>
      <c r="U120" s="89"/>
    </row>
    <row r="121" spans="3:23" x14ac:dyDescent="0.25">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25">
      <c r="H122" s="3"/>
      <c r="I122" s="3"/>
      <c r="J122" s="127"/>
      <c r="K122" s="127"/>
      <c r="L122" s="127"/>
      <c r="M122" s="127"/>
      <c r="N122" s="127"/>
      <c r="O122" s="127"/>
      <c r="P122" s="127"/>
      <c r="Q122" s="127"/>
      <c r="R122" s="127"/>
      <c r="S122" s="127"/>
      <c r="T122" s="127"/>
      <c r="U122" s="127"/>
      <c r="W122" s="3"/>
    </row>
    <row r="123" spans="3:23" x14ac:dyDescent="0.25">
      <c r="E123" s="32" t="s">
        <v>404</v>
      </c>
      <c r="G123" s="13"/>
      <c r="J123" s="89"/>
      <c r="K123" s="89"/>
      <c r="L123" s="89"/>
      <c r="M123" s="89"/>
      <c r="N123" s="89"/>
      <c r="O123" s="89"/>
      <c r="P123" s="89"/>
      <c r="Q123" s="89"/>
      <c r="R123" s="89"/>
      <c r="S123" s="89"/>
      <c r="T123" s="89"/>
      <c r="U123" s="89"/>
      <c r="W123" s="3"/>
    </row>
    <row r="124" spans="3:23" x14ac:dyDescent="0.25">
      <c r="E124" s="29" t="s">
        <v>405</v>
      </c>
      <c r="G124" s="13"/>
      <c r="J124" s="89"/>
      <c r="K124" s="89"/>
      <c r="L124" s="89"/>
      <c r="M124" s="89"/>
      <c r="N124" s="89"/>
      <c r="O124" s="89"/>
      <c r="P124" s="89"/>
      <c r="Q124" s="89"/>
      <c r="R124" s="89"/>
      <c r="S124" s="89"/>
      <c r="T124" s="89"/>
      <c r="U124" s="89"/>
    </row>
    <row r="125" spans="3:23" x14ac:dyDescent="0.25">
      <c r="E125" s="29" t="s">
        <v>406</v>
      </c>
      <c r="G125" s="13"/>
      <c r="H125" s="128" t="s">
        <v>407</v>
      </c>
      <c r="J125" s="89"/>
      <c r="K125" s="89"/>
      <c r="L125" s="89"/>
      <c r="M125" s="89"/>
      <c r="N125" s="89"/>
      <c r="O125" s="89"/>
      <c r="P125" s="89"/>
      <c r="Q125" s="89"/>
      <c r="R125" s="89"/>
      <c r="S125" s="89"/>
      <c r="T125" s="89"/>
      <c r="U125" s="89"/>
    </row>
    <row r="126" spans="3:23" x14ac:dyDescent="0.25">
      <c r="F126" s="23" t="s">
        <v>940</v>
      </c>
      <c r="G126" s="78" t="s">
        <v>283</v>
      </c>
      <c r="H126" s="126">
        <f t="shared" ref="H126:H141" si="37">MAX(J126:S126)</f>
        <v>1.093</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1.093</v>
      </c>
      <c r="T126" s="83"/>
      <c r="U126" s="83"/>
      <c r="W126" s="3"/>
    </row>
    <row r="127" spans="3:23" x14ac:dyDescent="0.25">
      <c r="F127" t="s">
        <v>942</v>
      </c>
      <c r="G127" s="72" t="s">
        <v>283</v>
      </c>
      <c r="H127" s="98">
        <f t="shared" si="37"/>
        <v>1.093</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1.093</v>
      </c>
      <c r="T127" s="79"/>
      <c r="U127" s="79"/>
      <c r="W127" s="3"/>
    </row>
    <row r="128" spans="3:23" x14ac:dyDescent="0.25">
      <c r="F128" t="s">
        <v>941</v>
      </c>
      <c r="G128" s="72" t="s">
        <v>283</v>
      </c>
      <c r="H128" s="98">
        <f t="shared" si="37"/>
        <v>1.093</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1.093</v>
      </c>
      <c r="T128" s="79"/>
      <c r="U128" s="79"/>
      <c r="W128" s="3"/>
    </row>
    <row r="129" spans="5:23" x14ac:dyDescent="0.25">
      <c r="F129" t="s">
        <v>943</v>
      </c>
      <c r="G129" s="72" t="s">
        <v>283</v>
      </c>
      <c r="H129" s="98">
        <f t="shared" si="37"/>
        <v>1.093</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1.093</v>
      </c>
      <c r="T129" s="79"/>
      <c r="U129" s="79"/>
    </row>
    <row r="130" spans="5:23" x14ac:dyDescent="0.25">
      <c r="F130" t="s">
        <v>949</v>
      </c>
      <c r="G130" s="72" t="s">
        <v>283</v>
      </c>
      <c r="H130" s="98">
        <f t="shared" si="37"/>
        <v>1.093</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1.093</v>
      </c>
      <c r="T130" s="79"/>
      <c r="U130" s="79"/>
    </row>
    <row r="131" spans="5:23" x14ac:dyDescent="0.25">
      <c r="F131" t="s">
        <v>950</v>
      </c>
      <c r="G131" s="72" t="s">
        <v>283</v>
      </c>
      <c r="H131" s="98">
        <f t="shared" si="37"/>
        <v>1.0589999999999999</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1.0589999999999999</v>
      </c>
      <c r="S131" s="98">
        <f>OR(SUM(S70:$S70) = 1, SUM(S70:$S70) = -1) * S$29</f>
        <v>0</v>
      </c>
      <c r="T131" s="79"/>
      <c r="U131" s="79"/>
    </row>
    <row r="132" spans="5:23" x14ac:dyDescent="0.25">
      <c r="F132" t="s">
        <v>951</v>
      </c>
      <c r="G132" s="72" t="s">
        <v>283</v>
      </c>
      <c r="H132" s="98">
        <f t="shared" si="37"/>
        <v>1.036</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1.026</v>
      </c>
      <c r="Q132" s="98">
        <f>OR(SUM(Q71:$S71) = 1, SUM(Q71:$S71) = -1) * Q$29</f>
        <v>1.036</v>
      </c>
      <c r="R132" s="98">
        <f>OR(SUM(R71:$S71) = 1, SUM(R71:$S71) = -1) * R$29</f>
        <v>0</v>
      </c>
      <c r="S132" s="98">
        <f>OR(SUM(S71:$S71) = 1, SUM(S71:$S71) = -1) * S$29</f>
        <v>0</v>
      </c>
      <c r="T132" s="79"/>
      <c r="U132" s="79"/>
    </row>
    <row r="133" spans="5:23" x14ac:dyDescent="0.25">
      <c r="F133" t="s">
        <v>952</v>
      </c>
      <c r="G133" s="72" t="s">
        <v>283</v>
      </c>
      <c r="H133" s="98">
        <f t="shared" si="37"/>
        <v>1.093</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1.093</v>
      </c>
      <c r="T133" s="79"/>
      <c r="U133" s="79"/>
    </row>
    <row r="134" spans="5:23" x14ac:dyDescent="0.25">
      <c r="F134" t="s">
        <v>944</v>
      </c>
      <c r="G134" s="72" t="s">
        <v>283</v>
      </c>
      <c r="H134" s="98">
        <f t="shared" si="37"/>
        <v>1.093</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1.093</v>
      </c>
      <c r="T134" s="79"/>
      <c r="U134" s="79"/>
    </row>
    <row r="135" spans="5:23" x14ac:dyDescent="0.25">
      <c r="F135" t="s">
        <v>945</v>
      </c>
      <c r="G135" s="72" t="s">
        <v>283</v>
      </c>
      <c r="H135" s="98">
        <f t="shared" si="37"/>
        <v>1.0589999999999999</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1.0589999999999999</v>
      </c>
      <c r="S135" s="98">
        <f>OR(SUM(S74:$S74) = 1, SUM(S74:$S74) = -1) * S$29</f>
        <v>0</v>
      </c>
      <c r="T135" s="79"/>
      <c r="U135" s="79"/>
    </row>
    <row r="136" spans="5:23" x14ac:dyDescent="0.25">
      <c r="F136" t="s">
        <v>946</v>
      </c>
      <c r="G136" s="72" t="s">
        <v>283</v>
      </c>
      <c r="H136" s="98">
        <f t="shared" si="37"/>
        <v>1.093</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1.093</v>
      </c>
      <c r="T136" s="79"/>
      <c r="U136" s="79"/>
    </row>
    <row r="137" spans="5:23" x14ac:dyDescent="0.25">
      <c r="F137" t="s">
        <v>955</v>
      </c>
      <c r="G137" s="72" t="s">
        <v>283</v>
      </c>
      <c r="H137" s="98">
        <f t="shared" si="37"/>
        <v>1.093</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1.093</v>
      </c>
      <c r="T137" s="79"/>
      <c r="U137" s="79"/>
    </row>
    <row r="138" spans="5:23" x14ac:dyDescent="0.25">
      <c r="F138" t="s">
        <v>947</v>
      </c>
      <c r="G138" s="72" t="s">
        <v>283</v>
      </c>
      <c r="H138" s="98">
        <f t="shared" si="37"/>
        <v>1.0589999999999999</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1.0589999999999999</v>
      </c>
      <c r="S138" s="98">
        <f>OR(SUM(S77:$S77) = 1, SUM(S77:$S77) = -1) * S$29</f>
        <v>0</v>
      </c>
      <c r="T138" s="79"/>
      <c r="U138" s="79"/>
    </row>
    <row r="139" spans="5:23" x14ac:dyDescent="0.25">
      <c r="F139" t="s">
        <v>954</v>
      </c>
      <c r="G139" s="72" t="s">
        <v>283</v>
      </c>
      <c r="H139" s="98">
        <f t="shared" si="37"/>
        <v>1.0589999999999999</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1.0589999999999999</v>
      </c>
      <c r="S139" s="98">
        <f>OR(SUM(S78:$S78) = 1, SUM(S78:$S78) = -1) * S$29</f>
        <v>0</v>
      </c>
      <c r="T139" s="79"/>
      <c r="U139" s="79"/>
    </row>
    <row r="140" spans="5:23" x14ac:dyDescent="0.25">
      <c r="F140" t="s">
        <v>948</v>
      </c>
      <c r="G140" s="72" t="s">
        <v>283</v>
      </c>
      <c r="H140" s="98">
        <f t="shared" si="37"/>
        <v>1.036</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1.026</v>
      </c>
      <c r="Q140" s="98">
        <f>OR(SUM(Q79:$S79) = 1, SUM(Q79:$S79) = -1) * Q$29</f>
        <v>1.036</v>
      </c>
      <c r="R140" s="98">
        <f>OR(SUM(R79:$S79) = 1, SUM(R79:$S79) = -1) * R$29</f>
        <v>0</v>
      </c>
      <c r="S140" s="98">
        <f>OR(SUM(S79:$S79) = 1, SUM(S79:$S79) = -1) * S$29</f>
        <v>0</v>
      </c>
      <c r="T140" s="79"/>
      <c r="U140" s="79"/>
    </row>
    <row r="141" spans="5:23" x14ac:dyDescent="0.25">
      <c r="F141" s="37" t="s">
        <v>953</v>
      </c>
      <c r="G141" s="80" t="s">
        <v>283</v>
      </c>
      <c r="H141" s="100">
        <f t="shared" si="37"/>
        <v>1.036</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1.026</v>
      </c>
      <c r="Q141" s="100">
        <f>OR(SUM(Q80:$S80) = 1, SUM(Q80:$S80) = -1) * Q$29</f>
        <v>1.036</v>
      </c>
      <c r="R141" s="100">
        <f>OR(SUM(R80:$S80) = 1, SUM(R80:$S80) = -1) * R$29</f>
        <v>0</v>
      </c>
      <c r="S141" s="100">
        <f>OR(SUM(S80:$S80) = 1, SUM(S80:$S80) = -1) * S$29</f>
        <v>0</v>
      </c>
      <c r="T141" s="81"/>
      <c r="U141" s="81"/>
    </row>
    <row r="142" spans="5:23" x14ac:dyDescent="0.25">
      <c r="G142" s="13"/>
    </row>
    <row r="143" spans="5:23" x14ac:dyDescent="0.25">
      <c r="E143" s="32" t="s">
        <v>408</v>
      </c>
      <c r="G143" s="13"/>
      <c r="I143" t="s">
        <v>154</v>
      </c>
      <c r="W143" s="3" t="s">
        <v>409</v>
      </c>
    </row>
    <row r="144" spans="5:23" x14ac:dyDescent="0.25">
      <c r="E144" s="29" t="s">
        <v>401</v>
      </c>
      <c r="G144" s="13"/>
    </row>
    <row r="145" spans="6:23" x14ac:dyDescent="0.25">
      <c r="F145" s="23" t="s">
        <v>940</v>
      </c>
      <c r="G145" s="78" t="s">
        <v>283</v>
      </c>
      <c r="H145" s="129"/>
      <c r="I145" s="23"/>
      <c r="J145" s="101">
        <f t="shared" ref="J145:S145" si="38">$H126 * J104</f>
        <v>1.093</v>
      </c>
      <c r="K145" s="101">
        <f t="shared" si="38"/>
        <v>1.093</v>
      </c>
      <c r="L145" s="101">
        <f t="shared" si="38"/>
        <v>1.093</v>
      </c>
      <c r="M145" s="101">
        <f t="shared" si="38"/>
        <v>1.093</v>
      </c>
      <c r="N145" s="101">
        <f t="shared" si="38"/>
        <v>1.093</v>
      </c>
      <c r="O145" s="101">
        <f t="shared" si="38"/>
        <v>1.093</v>
      </c>
      <c r="P145" s="101">
        <f t="shared" si="38"/>
        <v>0</v>
      </c>
      <c r="Q145" s="101">
        <f t="shared" si="38"/>
        <v>1.093</v>
      </c>
      <c r="R145" s="101">
        <f t="shared" si="38"/>
        <v>1.093</v>
      </c>
      <c r="S145" s="101">
        <f t="shared" si="38"/>
        <v>1.093</v>
      </c>
      <c r="T145" s="83"/>
      <c r="U145" s="83"/>
    </row>
    <row r="146" spans="6:23" x14ac:dyDescent="0.25">
      <c r="F146" t="s">
        <v>942</v>
      </c>
      <c r="G146" s="72" t="s">
        <v>283</v>
      </c>
      <c r="H146" s="63"/>
      <c r="J146" s="121">
        <f t="shared" ref="J146:S146" si="39">$H127 * J105</f>
        <v>1.093</v>
      </c>
      <c r="K146" s="121">
        <f t="shared" si="39"/>
        <v>1.093</v>
      </c>
      <c r="L146" s="121">
        <f t="shared" si="39"/>
        <v>1.093</v>
      </c>
      <c r="M146" s="121">
        <f t="shared" si="39"/>
        <v>1.093</v>
      </c>
      <c r="N146" s="121">
        <f t="shared" si="39"/>
        <v>1.093</v>
      </c>
      <c r="O146" s="121">
        <f t="shared" si="39"/>
        <v>1.093</v>
      </c>
      <c r="P146" s="121">
        <f t="shared" si="39"/>
        <v>0</v>
      </c>
      <c r="Q146" s="121">
        <f t="shared" si="39"/>
        <v>1.093</v>
      </c>
      <c r="R146" s="121">
        <f t="shared" si="39"/>
        <v>1.093</v>
      </c>
      <c r="S146" s="121">
        <f t="shared" si="39"/>
        <v>1.093</v>
      </c>
      <c r="T146" s="79"/>
      <c r="U146" s="79"/>
      <c r="W146" s="3"/>
    </row>
    <row r="147" spans="6:23" x14ac:dyDescent="0.25">
      <c r="F147" t="s">
        <v>941</v>
      </c>
      <c r="G147" s="72" t="s">
        <v>283</v>
      </c>
      <c r="H147" s="63"/>
      <c r="J147" s="121">
        <f t="shared" ref="J147:S147" si="40">$H128 * J106</f>
        <v>1.093</v>
      </c>
      <c r="K147" s="121">
        <f t="shared" si="40"/>
        <v>1.093</v>
      </c>
      <c r="L147" s="121">
        <f t="shared" si="40"/>
        <v>1.093</v>
      </c>
      <c r="M147" s="121">
        <f t="shared" si="40"/>
        <v>1.093</v>
      </c>
      <c r="N147" s="121">
        <f t="shared" si="40"/>
        <v>1.093</v>
      </c>
      <c r="O147" s="121">
        <f t="shared" si="40"/>
        <v>1.093</v>
      </c>
      <c r="P147" s="121">
        <f t="shared" si="40"/>
        <v>0</v>
      </c>
      <c r="Q147" s="121">
        <f t="shared" si="40"/>
        <v>1.093</v>
      </c>
      <c r="R147" s="121">
        <f t="shared" si="40"/>
        <v>1.093</v>
      </c>
      <c r="S147" s="121">
        <f t="shared" si="40"/>
        <v>1.093</v>
      </c>
      <c r="T147" s="79"/>
      <c r="U147" s="79"/>
      <c r="W147" s="3"/>
    </row>
    <row r="148" spans="6:23" x14ac:dyDescent="0.25">
      <c r="F148" t="s">
        <v>943</v>
      </c>
      <c r="G148" s="72" t="s">
        <v>283</v>
      </c>
      <c r="H148" s="63"/>
      <c r="J148" s="121">
        <f t="shared" ref="J148:S148" si="41">$H129 * J107</f>
        <v>1.093</v>
      </c>
      <c r="K148" s="121">
        <f t="shared" si="41"/>
        <v>1.093</v>
      </c>
      <c r="L148" s="121">
        <f t="shared" si="41"/>
        <v>1.093</v>
      </c>
      <c r="M148" s="121">
        <f t="shared" si="41"/>
        <v>1.093</v>
      </c>
      <c r="N148" s="121">
        <f t="shared" si="41"/>
        <v>1.093</v>
      </c>
      <c r="O148" s="121">
        <f t="shared" si="41"/>
        <v>1.093</v>
      </c>
      <c r="P148" s="121">
        <f t="shared" si="41"/>
        <v>0</v>
      </c>
      <c r="Q148" s="121">
        <f t="shared" si="41"/>
        <v>1.093</v>
      </c>
      <c r="R148" s="121">
        <f t="shared" si="41"/>
        <v>1.093</v>
      </c>
      <c r="S148" s="121">
        <f t="shared" si="41"/>
        <v>1.093</v>
      </c>
      <c r="T148" s="79"/>
      <c r="U148" s="79"/>
    </row>
    <row r="149" spans="6:23" x14ac:dyDescent="0.25">
      <c r="F149" t="s">
        <v>949</v>
      </c>
      <c r="G149" s="72" t="s">
        <v>283</v>
      </c>
      <c r="H149" s="63"/>
      <c r="J149" s="121">
        <f t="shared" ref="J149:S149" si="42">$H130 * J108</f>
        <v>1.093</v>
      </c>
      <c r="K149" s="121">
        <f t="shared" si="42"/>
        <v>1.093</v>
      </c>
      <c r="L149" s="121">
        <f t="shared" si="42"/>
        <v>1.093</v>
      </c>
      <c r="M149" s="121">
        <f t="shared" si="42"/>
        <v>1.093</v>
      </c>
      <c r="N149" s="121">
        <f t="shared" si="42"/>
        <v>1.093</v>
      </c>
      <c r="O149" s="121">
        <f t="shared" si="42"/>
        <v>1.093</v>
      </c>
      <c r="P149" s="121">
        <f t="shared" si="42"/>
        <v>0</v>
      </c>
      <c r="Q149" s="121">
        <f t="shared" si="42"/>
        <v>1.093</v>
      </c>
      <c r="R149" s="121">
        <f t="shared" si="42"/>
        <v>1.093</v>
      </c>
      <c r="S149" s="121">
        <f t="shared" si="42"/>
        <v>1.093</v>
      </c>
      <c r="T149" s="79"/>
      <c r="U149" s="79"/>
    </row>
    <row r="150" spans="6:23" x14ac:dyDescent="0.25">
      <c r="F150" t="s">
        <v>950</v>
      </c>
      <c r="G150" s="72" t="s">
        <v>283</v>
      </c>
      <c r="H150" s="63"/>
      <c r="J150" s="121">
        <f t="shared" ref="J150:S150" si="43">$H131 * J109</f>
        <v>1.0589999999999999</v>
      </c>
      <c r="K150" s="121">
        <f t="shared" si="43"/>
        <v>1.0589999999999999</v>
      </c>
      <c r="L150" s="121">
        <f t="shared" si="43"/>
        <v>1.0589999999999999</v>
      </c>
      <c r="M150" s="121">
        <f t="shared" si="43"/>
        <v>1.0589999999999999</v>
      </c>
      <c r="N150" s="121">
        <f t="shared" si="43"/>
        <v>1.0589999999999999</v>
      </c>
      <c r="O150" s="121">
        <f t="shared" si="43"/>
        <v>1.0589999999999999</v>
      </c>
      <c r="P150" s="121">
        <f t="shared" si="43"/>
        <v>0</v>
      </c>
      <c r="Q150" s="121">
        <f t="shared" si="43"/>
        <v>1.0589999999999999</v>
      </c>
      <c r="R150" s="121">
        <f t="shared" si="43"/>
        <v>1.0589999999999999</v>
      </c>
      <c r="S150" s="121">
        <f t="shared" si="43"/>
        <v>0</v>
      </c>
      <c r="T150" s="79"/>
      <c r="U150" s="79"/>
    </row>
    <row r="151" spans="6:23" x14ac:dyDescent="0.25">
      <c r="F151" t="s">
        <v>951</v>
      </c>
      <c r="G151" s="72" t="s">
        <v>283</v>
      </c>
      <c r="H151" s="63"/>
      <c r="J151" s="121">
        <f t="shared" ref="J151:S151" si="44">$H132 * J110</f>
        <v>1.036</v>
      </c>
      <c r="K151" s="121">
        <f t="shared" si="44"/>
        <v>1.036</v>
      </c>
      <c r="L151" s="121">
        <f t="shared" si="44"/>
        <v>1.036</v>
      </c>
      <c r="M151" s="121">
        <f t="shared" si="44"/>
        <v>1.036</v>
      </c>
      <c r="N151" s="121">
        <f t="shared" si="44"/>
        <v>1.036</v>
      </c>
      <c r="O151" s="121">
        <f t="shared" si="44"/>
        <v>1.036</v>
      </c>
      <c r="P151" s="121">
        <f t="shared" si="44"/>
        <v>0</v>
      </c>
      <c r="Q151" s="121">
        <f t="shared" si="44"/>
        <v>1.036</v>
      </c>
      <c r="R151" s="121">
        <f t="shared" si="44"/>
        <v>0</v>
      </c>
      <c r="S151" s="121">
        <f t="shared" si="44"/>
        <v>0</v>
      </c>
      <c r="T151" s="79"/>
      <c r="U151" s="79"/>
    </row>
    <row r="152" spans="6:23" x14ac:dyDescent="0.25">
      <c r="F152" t="s">
        <v>952</v>
      </c>
      <c r="G152" s="72" t="s">
        <v>283</v>
      </c>
      <c r="H152" s="63"/>
      <c r="J152" s="121">
        <f t="shared" ref="J152:S152" si="45">$H133 * J111</f>
        <v>1.093</v>
      </c>
      <c r="K152" s="121">
        <f t="shared" si="45"/>
        <v>1.093</v>
      </c>
      <c r="L152" s="121">
        <f t="shared" si="45"/>
        <v>1.093</v>
      </c>
      <c r="M152" s="121">
        <f t="shared" si="45"/>
        <v>1.093</v>
      </c>
      <c r="N152" s="121">
        <f t="shared" si="45"/>
        <v>1.093</v>
      </c>
      <c r="O152" s="121">
        <f t="shared" si="45"/>
        <v>1.093</v>
      </c>
      <c r="P152" s="121">
        <f t="shared" si="45"/>
        <v>0</v>
      </c>
      <c r="Q152" s="121">
        <f t="shared" si="45"/>
        <v>1.093</v>
      </c>
      <c r="R152" s="121">
        <f t="shared" si="45"/>
        <v>1.093</v>
      </c>
      <c r="S152" s="121">
        <f t="shared" si="45"/>
        <v>1.093</v>
      </c>
      <c r="T152" s="79"/>
      <c r="U152" s="79"/>
    </row>
    <row r="153" spans="6:23" x14ac:dyDescent="0.25">
      <c r="F153" t="s">
        <v>944</v>
      </c>
      <c r="G153" s="72" t="s">
        <v>283</v>
      </c>
      <c r="H153" s="63"/>
      <c r="J153" s="121">
        <f t="shared" ref="J153:S153" si="46">$H134 * J112</f>
        <v>-1.093</v>
      </c>
      <c r="K153" s="121">
        <f t="shared" si="46"/>
        <v>-1.093</v>
      </c>
      <c r="L153" s="121">
        <f t="shared" si="46"/>
        <v>-1.093</v>
      </c>
      <c r="M153" s="121">
        <f t="shared" si="46"/>
        <v>-1.093</v>
      </c>
      <c r="N153" s="121">
        <f t="shared" si="46"/>
        <v>-1.093</v>
      </c>
      <c r="O153" s="121">
        <f t="shared" si="46"/>
        <v>-1.093</v>
      </c>
      <c r="P153" s="121">
        <f t="shared" si="46"/>
        <v>0</v>
      </c>
      <c r="Q153" s="121">
        <f t="shared" si="46"/>
        <v>-1.093</v>
      </c>
      <c r="R153" s="121">
        <f t="shared" si="46"/>
        <v>-1.093</v>
      </c>
      <c r="S153" s="121">
        <f t="shared" si="46"/>
        <v>0</v>
      </c>
      <c r="T153" s="79"/>
      <c r="U153" s="79"/>
    </row>
    <row r="154" spans="6:23" x14ac:dyDescent="0.25">
      <c r="F154" t="s">
        <v>945</v>
      </c>
      <c r="G154" s="72" t="s">
        <v>283</v>
      </c>
      <c r="H154" s="63"/>
      <c r="J154" s="121">
        <f t="shared" ref="J154:S154" si="47">$H135 * J113</f>
        <v>-1.0589999999999999</v>
      </c>
      <c r="K154" s="121">
        <f t="shared" si="47"/>
        <v>-1.0589999999999999</v>
      </c>
      <c r="L154" s="121">
        <f t="shared" si="47"/>
        <v>-1.0589999999999999</v>
      </c>
      <c r="M154" s="121">
        <f t="shared" si="47"/>
        <v>-1.0589999999999999</v>
      </c>
      <c r="N154" s="121">
        <f t="shared" si="47"/>
        <v>-1.0589999999999999</v>
      </c>
      <c r="O154" s="121">
        <f t="shared" si="47"/>
        <v>-1.0589999999999999</v>
      </c>
      <c r="P154" s="121">
        <f t="shared" si="47"/>
        <v>0</v>
      </c>
      <c r="Q154" s="121">
        <f t="shared" si="47"/>
        <v>-1.0589999999999999</v>
      </c>
      <c r="R154" s="121">
        <f t="shared" si="47"/>
        <v>0</v>
      </c>
      <c r="S154" s="121">
        <f t="shared" si="47"/>
        <v>0</v>
      </c>
      <c r="T154" s="79"/>
      <c r="U154" s="79"/>
    </row>
    <row r="155" spans="6:23" x14ac:dyDescent="0.25">
      <c r="F155" t="s">
        <v>946</v>
      </c>
      <c r="G155" s="72" t="s">
        <v>283</v>
      </c>
      <c r="H155" s="63"/>
      <c r="J155" s="121">
        <f t="shared" ref="J155:S155" si="48">$H136 * J114</f>
        <v>-1.093</v>
      </c>
      <c r="K155" s="121">
        <f t="shared" si="48"/>
        <v>-1.093</v>
      </c>
      <c r="L155" s="121">
        <f t="shared" si="48"/>
        <v>-1.093</v>
      </c>
      <c r="M155" s="121">
        <f t="shared" si="48"/>
        <v>-1.093</v>
      </c>
      <c r="N155" s="121">
        <f t="shared" si="48"/>
        <v>-1.093</v>
      </c>
      <c r="O155" s="121">
        <f t="shared" si="48"/>
        <v>-1.093</v>
      </c>
      <c r="P155" s="121">
        <f t="shared" si="48"/>
        <v>0</v>
      </c>
      <c r="Q155" s="121">
        <f t="shared" si="48"/>
        <v>-1.093</v>
      </c>
      <c r="R155" s="121">
        <f t="shared" si="48"/>
        <v>-1.093</v>
      </c>
      <c r="S155" s="121">
        <f t="shared" si="48"/>
        <v>0</v>
      </c>
      <c r="T155" s="79"/>
      <c r="U155" s="79"/>
    </row>
    <row r="156" spans="6:23" x14ac:dyDescent="0.25">
      <c r="F156" t="s">
        <v>955</v>
      </c>
      <c r="G156" s="72" t="s">
        <v>283</v>
      </c>
      <c r="H156" s="63"/>
      <c r="J156" s="121">
        <f t="shared" ref="J156:S156" si="49">$H137 * J115</f>
        <v>-1.093</v>
      </c>
      <c r="K156" s="121">
        <f t="shared" si="49"/>
        <v>-1.093</v>
      </c>
      <c r="L156" s="121">
        <f t="shared" si="49"/>
        <v>-1.093</v>
      </c>
      <c r="M156" s="121">
        <f t="shared" si="49"/>
        <v>-1.093</v>
      </c>
      <c r="N156" s="121">
        <f t="shared" si="49"/>
        <v>-1.093</v>
      </c>
      <c r="O156" s="121">
        <f t="shared" si="49"/>
        <v>-1.093</v>
      </c>
      <c r="P156" s="121">
        <f t="shared" si="49"/>
        <v>0</v>
      </c>
      <c r="Q156" s="121">
        <f t="shared" si="49"/>
        <v>-1.093</v>
      </c>
      <c r="R156" s="121">
        <f t="shared" si="49"/>
        <v>-1.093</v>
      </c>
      <c r="S156" s="121">
        <f t="shared" si="49"/>
        <v>0</v>
      </c>
      <c r="T156" s="79"/>
      <c r="U156" s="79"/>
    </row>
    <row r="157" spans="6:23" x14ac:dyDescent="0.25">
      <c r="F157" t="s">
        <v>947</v>
      </c>
      <c r="G157" s="72" t="s">
        <v>283</v>
      </c>
      <c r="H157" s="63"/>
      <c r="J157" s="121">
        <f t="shared" ref="J157:S157" si="50">$H138 * J116</f>
        <v>-1.0589999999999999</v>
      </c>
      <c r="K157" s="121">
        <f t="shared" si="50"/>
        <v>-1.0589999999999999</v>
      </c>
      <c r="L157" s="121">
        <f t="shared" si="50"/>
        <v>-1.0589999999999999</v>
      </c>
      <c r="M157" s="121">
        <f t="shared" si="50"/>
        <v>-1.0589999999999999</v>
      </c>
      <c r="N157" s="121">
        <f t="shared" si="50"/>
        <v>-1.0589999999999999</v>
      </c>
      <c r="O157" s="121">
        <f t="shared" si="50"/>
        <v>-1.0589999999999999</v>
      </c>
      <c r="P157" s="121">
        <f t="shared" si="50"/>
        <v>0</v>
      </c>
      <c r="Q157" s="121">
        <f t="shared" si="50"/>
        <v>-1.0589999999999999</v>
      </c>
      <c r="R157" s="121">
        <f t="shared" si="50"/>
        <v>0</v>
      </c>
      <c r="S157" s="121">
        <f t="shared" si="50"/>
        <v>0</v>
      </c>
      <c r="T157" s="79"/>
      <c r="U157" s="79"/>
    </row>
    <row r="158" spans="6:23" x14ac:dyDescent="0.25">
      <c r="F158" t="s">
        <v>954</v>
      </c>
      <c r="G158" s="72" t="s">
        <v>283</v>
      </c>
      <c r="H158" s="63"/>
      <c r="J158" s="121">
        <f t="shared" ref="J158:S158" si="51">$H139 * J117</f>
        <v>-1.0589999999999999</v>
      </c>
      <c r="K158" s="121">
        <f t="shared" si="51"/>
        <v>-1.0589999999999999</v>
      </c>
      <c r="L158" s="121">
        <f t="shared" si="51"/>
        <v>-1.0589999999999999</v>
      </c>
      <c r="M158" s="121">
        <f t="shared" si="51"/>
        <v>-1.0589999999999999</v>
      </c>
      <c r="N158" s="121">
        <f t="shared" si="51"/>
        <v>-1.0589999999999999</v>
      </c>
      <c r="O158" s="121">
        <f t="shared" si="51"/>
        <v>-1.0589999999999999</v>
      </c>
      <c r="P158" s="121">
        <f t="shared" si="51"/>
        <v>0</v>
      </c>
      <c r="Q158" s="121">
        <f t="shared" si="51"/>
        <v>-1.0589999999999999</v>
      </c>
      <c r="R158" s="121">
        <f t="shared" si="51"/>
        <v>0</v>
      </c>
      <c r="S158" s="121">
        <f t="shared" si="51"/>
        <v>0</v>
      </c>
      <c r="T158" s="79"/>
      <c r="U158" s="79"/>
    </row>
    <row r="159" spans="6:23" x14ac:dyDescent="0.25">
      <c r="F159" t="s">
        <v>948</v>
      </c>
      <c r="G159" s="72" t="s">
        <v>283</v>
      </c>
      <c r="H159" s="63"/>
      <c r="J159" s="121">
        <f t="shared" ref="J159:S159" si="52">$H140 * J118</f>
        <v>-1.036</v>
      </c>
      <c r="K159" s="121">
        <f t="shared" si="52"/>
        <v>-1.036</v>
      </c>
      <c r="L159" s="121">
        <f t="shared" si="52"/>
        <v>-1.036</v>
      </c>
      <c r="M159" s="121">
        <f t="shared" si="52"/>
        <v>-1.036</v>
      </c>
      <c r="N159" s="121">
        <f t="shared" si="52"/>
        <v>-1.036</v>
      </c>
      <c r="O159" s="121">
        <f t="shared" si="52"/>
        <v>-1.036</v>
      </c>
      <c r="P159" s="121">
        <f t="shared" si="52"/>
        <v>0</v>
      </c>
      <c r="Q159" s="121">
        <f t="shared" si="52"/>
        <v>0</v>
      </c>
      <c r="R159" s="121">
        <f t="shared" si="52"/>
        <v>0</v>
      </c>
      <c r="S159" s="121">
        <f t="shared" si="52"/>
        <v>0</v>
      </c>
      <c r="T159" s="79"/>
      <c r="U159" s="79"/>
    </row>
    <row r="160" spans="6:23" x14ac:dyDescent="0.25">
      <c r="F160" s="37" t="s">
        <v>953</v>
      </c>
      <c r="G160" s="80" t="s">
        <v>283</v>
      </c>
      <c r="H160" s="130"/>
      <c r="I160" s="37"/>
      <c r="J160" s="131">
        <f t="shared" ref="J160:S160" si="53">$H141 * J119</f>
        <v>-1.036</v>
      </c>
      <c r="K160" s="131">
        <f t="shared" si="53"/>
        <v>-1.036</v>
      </c>
      <c r="L160" s="131">
        <f t="shared" si="53"/>
        <v>-1.036</v>
      </c>
      <c r="M160" s="131">
        <f t="shared" si="53"/>
        <v>-1.036</v>
      </c>
      <c r="N160" s="131">
        <f t="shared" si="53"/>
        <v>-1.036</v>
      </c>
      <c r="O160" s="131">
        <f t="shared" si="53"/>
        <v>-1.036</v>
      </c>
      <c r="P160" s="131">
        <f t="shared" si="53"/>
        <v>0</v>
      </c>
      <c r="Q160" s="131">
        <f t="shared" si="53"/>
        <v>0</v>
      </c>
      <c r="R160" s="131">
        <f t="shared" si="53"/>
        <v>0</v>
      </c>
      <c r="S160" s="131">
        <f t="shared" si="53"/>
        <v>0</v>
      </c>
      <c r="T160" s="81"/>
      <c r="U160" s="81"/>
    </row>
    <row r="161" spans="5:23" x14ac:dyDescent="0.25">
      <c r="G161" s="13"/>
      <c r="J161" s="89"/>
      <c r="K161" s="89"/>
      <c r="L161" s="89"/>
      <c r="M161" s="89"/>
      <c r="N161" s="89"/>
      <c r="O161" s="89"/>
      <c r="P161" s="89"/>
      <c r="Q161" s="89"/>
      <c r="R161" s="89"/>
      <c r="S161" s="89"/>
      <c r="T161" s="89"/>
      <c r="U161" s="89"/>
    </row>
    <row r="162" spans="5:23" x14ac:dyDescent="0.25">
      <c r="E162" s="32" t="s">
        <v>404</v>
      </c>
      <c r="G162" s="13"/>
      <c r="I162" t="s">
        <v>154</v>
      </c>
      <c r="J162" s="89"/>
      <c r="K162" s="89"/>
      <c r="L162" s="89"/>
      <c r="M162" s="89"/>
      <c r="N162" s="89"/>
      <c r="O162" s="89"/>
      <c r="P162" s="89"/>
      <c r="Q162" s="89"/>
      <c r="R162" s="89"/>
      <c r="S162" s="89"/>
      <c r="T162" s="89"/>
      <c r="U162" s="89"/>
      <c r="W162" s="3" t="s">
        <v>409</v>
      </c>
    </row>
    <row r="163" spans="5:23" x14ac:dyDescent="0.25">
      <c r="E163" s="29" t="s">
        <v>401</v>
      </c>
      <c r="G163" s="13"/>
      <c r="J163" s="89"/>
      <c r="K163" s="89"/>
      <c r="L163" s="89"/>
      <c r="M163" s="89"/>
      <c r="N163" s="89"/>
      <c r="O163" s="89"/>
      <c r="P163" s="89"/>
      <c r="Q163" s="89"/>
      <c r="R163" s="89"/>
      <c r="S163" s="89"/>
      <c r="T163" s="89"/>
      <c r="U163" s="89"/>
    </row>
    <row r="164" spans="5:23" x14ac:dyDescent="0.25">
      <c r="F164" s="23" t="s">
        <v>940</v>
      </c>
      <c r="G164" s="78" t="s">
        <v>283</v>
      </c>
      <c r="H164" s="129"/>
      <c r="I164" s="23"/>
      <c r="J164" s="83"/>
      <c r="K164" s="83"/>
      <c r="L164" s="83"/>
      <c r="M164" s="83"/>
      <c r="N164" s="83"/>
      <c r="O164" s="83"/>
      <c r="P164" s="83"/>
      <c r="Q164" s="83"/>
      <c r="R164" s="83"/>
      <c r="S164" s="83"/>
      <c r="T164" s="83"/>
      <c r="U164" s="83"/>
    </row>
    <row r="165" spans="5:23" x14ac:dyDescent="0.25">
      <c r="F165" t="s">
        <v>942</v>
      </c>
      <c r="G165" s="72" t="s">
        <v>283</v>
      </c>
      <c r="H165" s="63"/>
      <c r="J165" s="79"/>
      <c r="K165" s="79"/>
      <c r="L165" s="79"/>
      <c r="M165" s="79"/>
      <c r="N165" s="79"/>
      <c r="O165" s="79"/>
      <c r="P165" s="79"/>
      <c r="Q165" s="79"/>
      <c r="R165" s="79"/>
      <c r="S165" s="79"/>
      <c r="T165" s="79"/>
      <c r="U165" s="79"/>
      <c r="W165" s="3"/>
    </row>
    <row r="166" spans="5:23" x14ac:dyDescent="0.25">
      <c r="F166" t="s">
        <v>941</v>
      </c>
      <c r="G166" s="72" t="s">
        <v>283</v>
      </c>
      <c r="H166" s="63"/>
      <c r="J166" s="79"/>
      <c r="K166" s="79"/>
      <c r="L166" s="79"/>
      <c r="M166" s="79"/>
      <c r="N166" s="79"/>
      <c r="O166" s="79"/>
      <c r="P166" s="79"/>
      <c r="Q166" s="79"/>
      <c r="R166" s="79"/>
      <c r="S166" s="79"/>
      <c r="T166" s="79"/>
      <c r="U166" s="79"/>
      <c r="W166" s="3"/>
    </row>
    <row r="167" spans="5:23" x14ac:dyDescent="0.25">
      <c r="F167" t="s">
        <v>943</v>
      </c>
      <c r="G167" s="72" t="s">
        <v>283</v>
      </c>
      <c r="H167" s="63"/>
      <c r="J167" s="79"/>
      <c r="K167" s="79"/>
      <c r="L167" s="79"/>
      <c r="M167" s="79"/>
      <c r="N167" s="79"/>
      <c r="O167" s="79"/>
      <c r="P167" s="79"/>
      <c r="Q167" s="79"/>
      <c r="R167" s="79"/>
      <c r="S167" s="79"/>
      <c r="T167" s="79"/>
      <c r="U167" s="79"/>
    </row>
    <row r="168" spans="5:23" x14ac:dyDescent="0.25">
      <c r="F168" t="s">
        <v>949</v>
      </c>
      <c r="G168" s="72" t="s">
        <v>283</v>
      </c>
      <c r="H168" s="63"/>
      <c r="J168" s="79"/>
      <c r="K168" s="79"/>
      <c r="L168" s="79"/>
      <c r="M168" s="79"/>
      <c r="N168" s="79"/>
      <c r="O168" s="79"/>
      <c r="P168" s="79"/>
      <c r="Q168" s="79"/>
      <c r="R168" s="79"/>
      <c r="S168" s="79"/>
      <c r="T168" s="79"/>
      <c r="U168" s="79"/>
    </row>
    <row r="169" spans="5:23" x14ac:dyDescent="0.25">
      <c r="F169" t="s">
        <v>950</v>
      </c>
      <c r="G169" s="72" t="s">
        <v>283</v>
      </c>
      <c r="H169" s="63"/>
      <c r="J169" s="79"/>
      <c r="K169" s="79"/>
      <c r="L169" s="79"/>
      <c r="M169" s="79"/>
      <c r="N169" s="79"/>
      <c r="O169" s="79"/>
      <c r="P169" s="79"/>
      <c r="Q169" s="79"/>
      <c r="R169" s="79"/>
      <c r="S169" s="79"/>
      <c r="T169" s="79"/>
      <c r="U169" s="79"/>
    </row>
    <row r="170" spans="5:23" x14ac:dyDescent="0.25">
      <c r="F170" t="s">
        <v>951</v>
      </c>
      <c r="G170" s="72" t="s">
        <v>283</v>
      </c>
      <c r="H170" s="63"/>
      <c r="J170" s="79"/>
      <c r="K170" s="79"/>
      <c r="L170" s="79"/>
      <c r="M170" s="79"/>
      <c r="N170" s="79"/>
      <c r="O170" s="79"/>
      <c r="P170" s="79"/>
      <c r="Q170" s="79"/>
      <c r="R170" s="79"/>
      <c r="S170" s="79"/>
      <c r="T170" s="79"/>
      <c r="U170" s="79"/>
    </row>
    <row r="171" spans="5:23" x14ac:dyDescent="0.25">
      <c r="F171" t="s">
        <v>952</v>
      </c>
      <c r="G171" s="72" t="s">
        <v>283</v>
      </c>
      <c r="H171" s="63"/>
      <c r="J171" s="79"/>
      <c r="K171" s="79"/>
      <c r="L171" s="79"/>
      <c r="M171" s="79"/>
      <c r="N171" s="79"/>
      <c r="O171" s="79"/>
      <c r="P171" s="79"/>
      <c r="Q171" s="79"/>
      <c r="R171" s="79"/>
      <c r="S171" s="79"/>
      <c r="T171" s="79"/>
      <c r="U171" s="79"/>
    </row>
    <row r="172" spans="5:23" x14ac:dyDescent="0.25">
      <c r="F172" t="s">
        <v>944</v>
      </c>
      <c r="G172" s="72" t="s">
        <v>283</v>
      </c>
      <c r="H172" s="63"/>
      <c r="J172" s="121">
        <f t="shared" ref="J172:S172" si="54">$H134 * J73</f>
        <v>-1.093</v>
      </c>
      <c r="K172" s="121">
        <f t="shared" si="54"/>
        <v>-1.093</v>
      </c>
      <c r="L172" s="121">
        <f t="shared" si="54"/>
        <v>-1.093</v>
      </c>
      <c r="M172" s="121">
        <f t="shared" si="54"/>
        <v>-1.093</v>
      </c>
      <c r="N172" s="121">
        <f t="shared" si="54"/>
        <v>-1.093</v>
      </c>
      <c r="O172" s="121">
        <f t="shared" si="54"/>
        <v>-1.093</v>
      </c>
      <c r="P172" s="121">
        <f t="shared" si="54"/>
        <v>0</v>
      </c>
      <c r="Q172" s="121">
        <f t="shared" si="54"/>
        <v>-1.093</v>
      </c>
      <c r="R172" s="121">
        <f t="shared" si="54"/>
        <v>-1.093</v>
      </c>
      <c r="S172" s="121">
        <f t="shared" si="54"/>
        <v>-1.093</v>
      </c>
      <c r="T172" s="79"/>
      <c r="U172" s="79"/>
    </row>
    <row r="173" spans="5:23" x14ac:dyDescent="0.25">
      <c r="F173" t="s">
        <v>945</v>
      </c>
      <c r="G173" s="72" t="s">
        <v>283</v>
      </c>
      <c r="H173" s="63"/>
      <c r="J173" s="121">
        <f t="shared" ref="J173:S173" si="55">$H135 * J74</f>
        <v>-1.0589999999999999</v>
      </c>
      <c r="K173" s="121">
        <f t="shared" si="55"/>
        <v>-1.0589999999999999</v>
      </c>
      <c r="L173" s="121">
        <f t="shared" si="55"/>
        <v>-1.0589999999999999</v>
      </c>
      <c r="M173" s="121">
        <f t="shared" si="55"/>
        <v>-1.0589999999999999</v>
      </c>
      <c r="N173" s="121">
        <f t="shared" si="55"/>
        <v>-1.0589999999999999</v>
      </c>
      <c r="O173" s="121">
        <f t="shared" si="55"/>
        <v>-1.0589999999999999</v>
      </c>
      <c r="P173" s="121">
        <f t="shared" si="55"/>
        <v>0</v>
      </c>
      <c r="Q173" s="121">
        <f t="shared" si="55"/>
        <v>-1.0589999999999999</v>
      </c>
      <c r="R173" s="121">
        <f t="shared" si="55"/>
        <v>-1.0589999999999999</v>
      </c>
      <c r="S173" s="121">
        <f t="shared" si="55"/>
        <v>0</v>
      </c>
      <c r="T173" s="79"/>
      <c r="U173" s="79"/>
    </row>
    <row r="174" spans="5:23" x14ac:dyDescent="0.25">
      <c r="F174" t="s">
        <v>946</v>
      </c>
      <c r="G174" s="72" t="s">
        <v>283</v>
      </c>
      <c r="H174" s="63"/>
      <c r="J174" s="121">
        <f t="shared" ref="J174:S174" si="56">$H136 * J75</f>
        <v>-1.093</v>
      </c>
      <c r="K174" s="121">
        <f t="shared" si="56"/>
        <v>-1.093</v>
      </c>
      <c r="L174" s="121">
        <f t="shared" si="56"/>
        <v>-1.093</v>
      </c>
      <c r="M174" s="121">
        <f t="shared" si="56"/>
        <v>-1.093</v>
      </c>
      <c r="N174" s="121">
        <f t="shared" si="56"/>
        <v>-1.093</v>
      </c>
      <c r="O174" s="121">
        <f t="shared" si="56"/>
        <v>-1.093</v>
      </c>
      <c r="P174" s="121">
        <f t="shared" si="56"/>
        <v>0</v>
      </c>
      <c r="Q174" s="121">
        <f t="shared" si="56"/>
        <v>-1.093</v>
      </c>
      <c r="R174" s="121">
        <f t="shared" si="56"/>
        <v>-1.093</v>
      </c>
      <c r="S174" s="121">
        <f t="shared" si="56"/>
        <v>-1.093</v>
      </c>
      <c r="T174" s="79"/>
      <c r="U174" s="79"/>
    </row>
    <row r="175" spans="5:23" x14ac:dyDescent="0.25">
      <c r="F175" t="s">
        <v>955</v>
      </c>
      <c r="G175" s="72" t="s">
        <v>283</v>
      </c>
      <c r="H175" s="63"/>
      <c r="J175" s="121">
        <f t="shared" ref="J175:S175" si="57">$H137 * J76</f>
        <v>-1.093</v>
      </c>
      <c r="K175" s="121">
        <f t="shared" si="57"/>
        <v>-1.093</v>
      </c>
      <c r="L175" s="121">
        <f t="shared" si="57"/>
        <v>-1.093</v>
      </c>
      <c r="M175" s="121">
        <f t="shared" si="57"/>
        <v>-1.093</v>
      </c>
      <c r="N175" s="121">
        <f t="shared" si="57"/>
        <v>-1.093</v>
      </c>
      <c r="O175" s="121">
        <f t="shared" si="57"/>
        <v>-1.093</v>
      </c>
      <c r="P175" s="121">
        <f t="shared" si="57"/>
        <v>0</v>
      </c>
      <c r="Q175" s="121">
        <f t="shared" si="57"/>
        <v>-1.093</v>
      </c>
      <c r="R175" s="121">
        <f t="shared" si="57"/>
        <v>-1.093</v>
      </c>
      <c r="S175" s="121">
        <f t="shared" si="57"/>
        <v>-1.093</v>
      </c>
      <c r="T175" s="79"/>
      <c r="U175" s="79"/>
    </row>
    <row r="176" spans="5:23" x14ac:dyDescent="0.25">
      <c r="F176" t="s">
        <v>947</v>
      </c>
      <c r="G176" s="72" t="s">
        <v>283</v>
      </c>
      <c r="H176" s="63"/>
      <c r="J176" s="121">
        <f t="shared" ref="J176:S176" si="58">$H138 * J77</f>
        <v>-1.0589999999999999</v>
      </c>
      <c r="K176" s="121">
        <f t="shared" si="58"/>
        <v>-1.0589999999999999</v>
      </c>
      <c r="L176" s="121">
        <f t="shared" si="58"/>
        <v>-1.0589999999999999</v>
      </c>
      <c r="M176" s="121">
        <f t="shared" si="58"/>
        <v>-1.0589999999999999</v>
      </c>
      <c r="N176" s="121">
        <f t="shared" si="58"/>
        <v>-1.0589999999999999</v>
      </c>
      <c r="O176" s="121">
        <f t="shared" si="58"/>
        <v>-1.0589999999999999</v>
      </c>
      <c r="P176" s="121">
        <f t="shared" si="58"/>
        <v>0</v>
      </c>
      <c r="Q176" s="121">
        <f t="shared" si="58"/>
        <v>-1.0589999999999999</v>
      </c>
      <c r="R176" s="121">
        <f t="shared" si="58"/>
        <v>-1.0589999999999999</v>
      </c>
      <c r="S176" s="121">
        <f t="shared" si="58"/>
        <v>0</v>
      </c>
      <c r="T176" s="79"/>
      <c r="U176" s="79"/>
    </row>
    <row r="177" spans="2:44" x14ac:dyDescent="0.25">
      <c r="F177" t="s">
        <v>954</v>
      </c>
      <c r="G177" s="72" t="s">
        <v>283</v>
      </c>
      <c r="H177" s="63"/>
      <c r="J177" s="121">
        <f t="shared" ref="J177:S177" si="59">$H139 * J78</f>
        <v>-1.0589999999999999</v>
      </c>
      <c r="K177" s="121">
        <f t="shared" si="59"/>
        <v>-1.0589999999999999</v>
      </c>
      <c r="L177" s="121">
        <f t="shared" si="59"/>
        <v>-1.0589999999999999</v>
      </c>
      <c r="M177" s="121">
        <f t="shared" si="59"/>
        <v>-1.0589999999999999</v>
      </c>
      <c r="N177" s="121">
        <f t="shared" si="59"/>
        <v>-1.0589999999999999</v>
      </c>
      <c r="O177" s="121">
        <f t="shared" si="59"/>
        <v>-1.0589999999999999</v>
      </c>
      <c r="P177" s="121">
        <f t="shared" si="59"/>
        <v>0</v>
      </c>
      <c r="Q177" s="121">
        <f t="shared" si="59"/>
        <v>-1.0589999999999999</v>
      </c>
      <c r="R177" s="121">
        <f t="shared" si="59"/>
        <v>-1.0589999999999999</v>
      </c>
      <c r="S177" s="121">
        <f t="shared" si="59"/>
        <v>0</v>
      </c>
      <c r="T177" s="79"/>
      <c r="U177" s="79"/>
    </row>
    <row r="178" spans="2:44" x14ac:dyDescent="0.25">
      <c r="F178" t="s">
        <v>948</v>
      </c>
      <c r="G178" s="72" t="s">
        <v>283</v>
      </c>
      <c r="H178" s="63"/>
      <c r="J178" s="121">
        <f t="shared" ref="J178:S178" si="60">$H140 * J79</f>
        <v>-1.036</v>
      </c>
      <c r="K178" s="121">
        <f t="shared" si="60"/>
        <v>-1.036</v>
      </c>
      <c r="L178" s="121">
        <f t="shared" si="60"/>
        <v>-1.036</v>
      </c>
      <c r="M178" s="121">
        <f t="shared" si="60"/>
        <v>-1.036</v>
      </c>
      <c r="N178" s="121">
        <f t="shared" si="60"/>
        <v>-1.036</v>
      </c>
      <c r="O178" s="121">
        <f t="shared" si="60"/>
        <v>-1.036</v>
      </c>
      <c r="P178" s="121">
        <f t="shared" si="60"/>
        <v>0</v>
      </c>
      <c r="Q178" s="121">
        <f t="shared" si="60"/>
        <v>-1.036</v>
      </c>
      <c r="R178" s="121">
        <f t="shared" si="60"/>
        <v>0</v>
      </c>
      <c r="S178" s="121">
        <f t="shared" si="60"/>
        <v>0</v>
      </c>
      <c r="T178" s="79"/>
      <c r="U178" s="79"/>
    </row>
    <row r="179" spans="2:44" x14ac:dyDescent="0.25">
      <c r="F179" s="37" t="s">
        <v>953</v>
      </c>
      <c r="G179" s="80" t="s">
        <v>283</v>
      </c>
      <c r="H179" s="130"/>
      <c r="I179" s="37"/>
      <c r="J179" s="131">
        <f>$H141 * J80</f>
        <v>-1.036</v>
      </c>
      <c r="K179" s="131">
        <f t="shared" ref="K179:S179" si="61">$H141 * K80</f>
        <v>-1.036</v>
      </c>
      <c r="L179" s="131">
        <f t="shared" si="61"/>
        <v>-1.036</v>
      </c>
      <c r="M179" s="131">
        <f t="shared" si="61"/>
        <v>-1.036</v>
      </c>
      <c r="N179" s="131">
        <f t="shared" si="61"/>
        <v>-1.036</v>
      </c>
      <c r="O179" s="131">
        <f t="shared" si="61"/>
        <v>-1.036</v>
      </c>
      <c r="P179" s="131">
        <f t="shared" si="61"/>
        <v>0</v>
      </c>
      <c r="Q179" s="131">
        <f t="shared" si="61"/>
        <v>-1.036</v>
      </c>
      <c r="R179" s="131">
        <f t="shared" si="61"/>
        <v>0</v>
      </c>
      <c r="S179" s="131">
        <f t="shared" si="61"/>
        <v>0</v>
      </c>
      <c r="T179" s="81"/>
      <c r="U179" s="81"/>
    </row>
    <row r="180" spans="2:44" x14ac:dyDescent="0.25">
      <c r="G180" s="13"/>
    </row>
    <row r="181" spans="2:44" x14ac:dyDescent="0.25">
      <c r="B181" s="30" t="s">
        <v>231</v>
      </c>
      <c r="C181" s="30"/>
      <c r="D181" s="105"/>
      <c r="E181" s="105"/>
      <c r="F181" s="105"/>
      <c r="G181" s="132"/>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row>
    <row r="182" spans="2:44" x14ac:dyDescent="0.25">
      <c r="G182" s="13"/>
    </row>
    <row r="183" spans="2:44" x14ac:dyDescent="0.25">
      <c r="E183" t="s">
        <v>232</v>
      </c>
      <c r="G183" s="6" t="s">
        <v>55</v>
      </c>
      <c r="H183" s="26">
        <f t="array" ref="H183">SUM(IF(ISERROR(H19:W181), 1))</f>
        <v>0</v>
      </c>
    </row>
    <row r="185" spans="2:44" x14ac:dyDescent="0.25">
      <c r="B185" s="30" t="s">
        <v>106</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H183">
    <cfRule type="cellIs" dxfId="169" priority="2" operator="greaterThan">
      <formula>0</formula>
    </cfRule>
  </conditionalFormatting>
  <conditionalFormatting sqref="A4:XFD4">
    <cfRule type="expression" dxfId="168" priority="1">
      <formula>LEFT($A$4,1) &lt;&gt; "0"</formula>
    </cfRule>
  </conditionalFormatting>
  <dataValidations disablePrompts="1" count="1">
    <dataValidation type="decimal" allowBlank="1" showInputMessage="1" showErrorMessage="1" errorTitle="Invalid diversity allowance" error="Invalid diversity allowance (negative number or unused cell)." sqref="H37" xr:uid="{00000000-0002-0000-0A00-000000000000}">
      <formula1>0</formula1>
      <formula2>4</formula2>
    </dataValidation>
  </dataValidations>
  <hyperlinks>
    <hyperlink ref="B5:F5" location="'Model map'!A1" display="Click here to return to model map" xr:uid="{00000000-0004-0000-0A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7109375" hidden="1"/>
  </cols>
  <sheetData>
    <row r="1" spans="1:23" s="1" customFormat="1" x14ac:dyDescent="0.25">
      <c r="A1" s="1" t="str">
        <f ca="1">MID(CELL("filename",A1),FIND("]",CELL("filename",A1))+1,255)</f>
        <v>Customer contributions</v>
      </c>
    </row>
    <row r="2" spans="1:23" s="1" customFormat="1" x14ac:dyDescent="0.25">
      <c r="A2" s="1" t="str">
        <f>Cover!D21&amp;" - "&amp;Cover!D23</f>
        <v xml:space="preserve">SHEPD  - Final </v>
      </c>
    </row>
    <row r="3" spans="1:23" s="5" customFormat="1" x14ac:dyDescent="0.25">
      <c r="A3" s="5" t="str">
        <f>Cover!D2&amp;" - "&amp;Cover!D8&amp;" v"&amp;Cover!D10&amp;" - "&amp;Cover!D19</f>
        <v>CDCM charging model - Release for charge setting v5 - 2021/22</v>
      </c>
    </row>
    <row r="4" spans="1:23" x14ac:dyDescent="0.25">
      <c r="A4" s="12" t="str">
        <f>H70 &amp; IF(H70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W5" s="61" t="s">
        <v>145</v>
      </c>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410</v>
      </c>
    </row>
    <row r="10" spans="1:23" x14ac:dyDescent="0.25">
      <c r="C10" s="29" t="s">
        <v>411</v>
      </c>
    </row>
    <row r="12" spans="1:23" x14ac:dyDescent="0.25">
      <c r="B12" s="30" t="s">
        <v>66</v>
      </c>
      <c r="C12" s="30"/>
      <c r="D12" s="30"/>
      <c r="E12" s="30"/>
      <c r="F12" s="30"/>
      <c r="G12" s="30"/>
      <c r="H12" s="30"/>
      <c r="I12" s="30"/>
      <c r="J12" s="30"/>
      <c r="K12" s="30"/>
      <c r="L12" s="30"/>
      <c r="M12" s="30"/>
      <c r="N12" s="30"/>
      <c r="O12" s="30"/>
      <c r="P12" s="30"/>
      <c r="Q12" s="30"/>
      <c r="R12" s="30"/>
      <c r="S12" s="30"/>
      <c r="T12" s="30"/>
      <c r="U12" s="30"/>
      <c r="V12" s="30"/>
      <c r="W12" s="30"/>
    </row>
    <row r="14" spans="1:23" x14ac:dyDescent="0.25">
      <c r="C14" s="29" t="s">
        <v>412</v>
      </c>
    </row>
    <row r="16" spans="1:23" x14ac:dyDescent="0.25">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25">
      <c r="E18" s="32" t="s">
        <v>180</v>
      </c>
      <c r="H18" s="3"/>
      <c r="I18" s="3" t="s">
        <v>154</v>
      </c>
      <c r="J18" s="3"/>
      <c r="K18" s="3"/>
      <c r="L18" s="3"/>
      <c r="M18" s="3"/>
      <c r="N18" s="3"/>
      <c r="O18" s="3"/>
      <c r="P18" s="3"/>
      <c r="Q18" s="3"/>
      <c r="R18" s="3"/>
      <c r="S18" s="3"/>
      <c r="T18" s="3"/>
      <c r="U18" s="3"/>
      <c r="W18" s="3" t="s">
        <v>181</v>
      </c>
    </row>
    <row r="19" spans="5:23" x14ac:dyDescent="0.25">
      <c r="E19" s="29" t="s">
        <v>182</v>
      </c>
      <c r="H19" s="3"/>
      <c r="I19" s="3"/>
      <c r="J19" s="3"/>
      <c r="K19" s="3"/>
      <c r="L19" s="3"/>
      <c r="M19" s="3"/>
      <c r="N19" s="3"/>
      <c r="O19" s="3"/>
      <c r="P19" s="3"/>
      <c r="Q19" s="3"/>
      <c r="R19" s="3"/>
      <c r="S19" s="3"/>
      <c r="T19" s="3"/>
      <c r="U19" s="3"/>
      <c r="W19" s="3"/>
    </row>
    <row r="20" spans="5:23" x14ac:dyDescent="0.25">
      <c r="F20" s="134"/>
      <c r="G20" s="134"/>
      <c r="H20" s="135"/>
      <c r="I20" s="135"/>
      <c r="J20" s="136" t="s">
        <v>183</v>
      </c>
      <c r="K20" s="136" t="s">
        <v>184</v>
      </c>
      <c r="L20" s="136" t="s">
        <v>185</v>
      </c>
      <c r="M20" s="136" t="s">
        <v>186</v>
      </c>
      <c r="O20" s="3"/>
      <c r="P20" s="3"/>
      <c r="Q20" s="3"/>
      <c r="R20" s="3"/>
      <c r="S20" s="3"/>
      <c r="T20" s="3"/>
      <c r="U20" s="3"/>
    </row>
    <row r="21" spans="5:23" x14ac:dyDescent="0.25">
      <c r="F21" s="28" t="s">
        <v>940</v>
      </c>
      <c r="G21" s="13" t="s">
        <v>176</v>
      </c>
      <c r="H21" s="3"/>
      <c r="I21" s="3"/>
      <c r="J21" s="137">
        <f t="array" ref="J21:M36">TRANSPOSE('Fixed inputs'!J53:Y56)</f>
        <v>0</v>
      </c>
      <c r="K21" s="137">
        <v>0</v>
      </c>
      <c r="L21" s="137">
        <v>0</v>
      </c>
      <c r="M21" s="137">
        <v>1</v>
      </c>
      <c r="S21" s="3"/>
      <c r="T21" s="3"/>
      <c r="U21" s="3"/>
      <c r="W21" s="3"/>
    </row>
    <row r="22" spans="5:23" x14ac:dyDescent="0.25">
      <c r="F22" s="28" t="s">
        <v>942</v>
      </c>
      <c r="G22" s="13" t="s">
        <v>176</v>
      </c>
      <c r="H22" s="3"/>
      <c r="I22" s="3"/>
      <c r="J22" s="137">
        <v>0</v>
      </c>
      <c r="K22" s="137">
        <v>0</v>
      </c>
      <c r="L22" s="137">
        <v>0</v>
      </c>
      <c r="M22" s="137">
        <v>1</v>
      </c>
      <c r="S22" s="3"/>
      <c r="T22" s="3"/>
      <c r="U22" s="3"/>
      <c r="W22" s="3"/>
    </row>
    <row r="23" spans="5:23" x14ac:dyDescent="0.25">
      <c r="F23" s="28" t="s">
        <v>941</v>
      </c>
      <c r="G23" s="13" t="s">
        <v>176</v>
      </c>
      <c r="H23" s="3"/>
      <c r="I23" s="3"/>
      <c r="J23" s="137">
        <v>0</v>
      </c>
      <c r="K23" s="137">
        <v>0</v>
      </c>
      <c r="L23" s="137">
        <v>0</v>
      </c>
      <c r="M23" s="137">
        <v>1</v>
      </c>
      <c r="S23" s="3"/>
      <c r="T23" s="3"/>
      <c r="U23" s="3"/>
      <c r="W23" s="3"/>
    </row>
    <row r="24" spans="5:23" x14ac:dyDescent="0.25">
      <c r="F24" s="28" t="s">
        <v>943</v>
      </c>
      <c r="G24" s="13" t="s">
        <v>176</v>
      </c>
      <c r="H24" s="3"/>
      <c r="I24" s="3"/>
      <c r="J24" s="137">
        <v>0</v>
      </c>
      <c r="K24" s="137">
        <v>0</v>
      </c>
      <c r="L24" s="137">
        <v>0</v>
      </c>
      <c r="M24" s="137">
        <v>1</v>
      </c>
      <c r="S24" s="3"/>
      <c r="T24" s="3"/>
      <c r="U24" s="3"/>
      <c r="W24" s="3"/>
    </row>
    <row r="25" spans="5:23" x14ac:dyDescent="0.25">
      <c r="F25" s="28" t="s">
        <v>949</v>
      </c>
      <c r="G25" s="13" t="s">
        <v>176</v>
      </c>
      <c r="H25" s="3"/>
      <c r="I25" s="3"/>
      <c r="J25" s="137">
        <v>0</v>
      </c>
      <c r="K25" s="137">
        <v>0</v>
      </c>
      <c r="L25" s="137">
        <v>0</v>
      </c>
      <c r="M25" s="137">
        <v>1</v>
      </c>
      <c r="S25" s="3"/>
      <c r="T25" s="3"/>
      <c r="U25" s="3"/>
      <c r="W25" s="3"/>
    </row>
    <row r="26" spans="5:23" x14ac:dyDescent="0.25">
      <c r="F26" s="28" t="s">
        <v>950</v>
      </c>
      <c r="G26" s="13" t="s">
        <v>176</v>
      </c>
      <c r="H26" s="3"/>
      <c r="I26" s="3"/>
      <c r="J26" s="137">
        <v>0</v>
      </c>
      <c r="K26" s="137">
        <v>0</v>
      </c>
      <c r="L26" s="137">
        <v>1</v>
      </c>
      <c r="M26" s="137">
        <v>0</v>
      </c>
      <c r="S26" s="3"/>
      <c r="T26" s="3"/>
      <c r="U26" s="3"/>
      <c r="W26" s="3"/>
    </row>
    <row r="27" spans="5:23" x14ac:dyDescent="0.25">
      <c r="F27" s="28" t="s">
        <v>951</v>
      </c>
      <c r="G27" s="13" t="s">
        <v>176</v>
      </c>
      <c r="H27" s="3"/>
      <c r="I27" s="3"/>
      <c r="J27" s="137">
        <v>0</v>
      </c>
      <c r="K27" s="137">
        <v>1</v>
      </c>
      <c r="L27" s="137">
        <v>0</v>
      </c>
      <c r="M27" s="137">
        <v>0</v>
      </c>
      <c r="S27" s="3"/>
      <c r="T27" s="3"/>
      <c r="U27" s="3"/>
      <c r="W27" s="3"/>
    </row>
    <row r="28" spans="5:23" x14ac:dyDescent="0.25">
      <c r="F28" s="28" t="s">
        <v>952</v>
      </c>
      <c r="G28" s="13" t="s">
        <v>176</v>
      </c>
      <c r="H28" s="3"/>
      <c r="I28" s="3"/>
      <c r="J28" s="137">
        <v>0</v>
      </c>
      <c r="K28" s="137">
        <v>0</v>
      </c>
      <c r="L28" s="137">
        <v>0</v>
      </c>
      <c r="M28" s="137">
        <v>1</v>
      </c>
      <c r="S28" s="3"/>
      <c r="T28" s="3"/>
      <c r="U28" s="3"/>
      <c r="W28" s="3"/>
    </row>
    <row r="29" spans="5:23" x14ac:dyDescent="0.25">
      <c r="F29" s="28" t="s">
        <v>944</v>
      </c>
      <c r="G29" s="13" t="s">
        <v>176</v>
      </c>
      <c r="H29" s="3"/>
      <c r="I29" s="3"/>
      <c r="J29" s="137">
        <v>0</v>
      </c>
      <c r="K29" s="137">
        <v>0</v>
      </c>
      <c r="L29" s="137">
        <v>0</v>
      </c>
      <c r="M29" s="137">
        <v>1</v>
      </c>
      <c r="S29" s="3"/>
      <c r="T29" s="3"/>
      <c r="U29" s="3"/>
      <c r="W29" s="3"/>
    </row>
    <row r="30" spans="5:23" x14ac:dyDescent="0.25">
      <c r="F30" s="28" t="s">
        <v>945</v>
      </c>
      <c r="G30" s="13" t="s">
        <v>176</v>
      </c>
      <c r="H30" s="3"/>
      <c r="I30" s="3"/>
      <c r="J30" s="137">
        <v>0</v>
      </c>
      <c r="K30" s="137">
        <v>0</v>
      </c>
      <c r="L30" s="137">
        <v>1</v>
      </c>
      <c r="M30" s="137">
        <v>0</v>
      </c>
      <c r="S30" s="3"/>
      <c r="T30" s="3"/>
      <c r="U30" s="3"/>
      <c r="W30" s="3"/>
    </row>
    <row r="31" spans="5:23" x14ac:dyDescent="0.25">
      <c r="F31" s="28" t="s">
        <v>946</v>
      </c>
      <c r="G31" s="13" t="s">
        <v>176</v>
      </c>
      <c r="H31" s="3"/>
      <c r="I31" s="3"/>
      <c r="J31" s="137">
        <v>0</v>
      </c>
      <c r="K31" s="137">
        <v>0</v>
      </c>
      <c r="L31" s="137">
        <v>0</v>
      </c>
      <c r="M31" s="137">
        <v>1</v>
      </c>
      <c r="S31" s="3"/>
      <c r="T31" s="3"/>
      <c r="U31" s="3"/>
      <c r="W31" s="3"/>
    </row>
    <row r="32" spans="5:23" x14ac:dyDescent="0.25">
      <c r="F32" s="28" t="s">
        <v>955</v>
      </c>
      <c r="G32" s="13" t="s">
        <v>176</v>
      </c>
      <c r="H32" s="3"/>
      <c r="I32" s="3"/>
      <c r="J32" s="137">
        <v>0</v>
      </c>
      <c r="K32" s="137">
        <v>0</v>
      </c>
      <c r="L32" s="137">
        <v>0</v>
      </c>
      <c r="M32" s="137">
        <v>1</v>
      </c>
      <c r="S32" s="3"/>
      <c r="T32" s="3"/>
      <c r="U32" s="3"/>
      <c r="W32" s="3"/>
    </row>
    <row r="33" spans="3:23" x14ac:dyDescent="0.25">
      <c r="F33" s="28" t="s">
        <v>947</v>
      </c>
      <c r="G33" s="13" t="s">
        <v>176</v>
      </c>
      <c r="H33" s="3"/>
      <c r="I33" s="3"/>
      <c r="J33" s="137">
        <v>0</v>
      </c>
      <c r="K33" s="137">
        <v>0</v>
      </c>
      <c r="L33" s="137">
        <v>1</v>
      </c>
      <c r="M33" s="137">
        <v>0</v>
      </c>
      <c r="S33" s="3"/>
      <c r="T33" s="3"/>
      <c r="U33" s="3"/>
      <c r="W33" s="3"/>
    </row>
    <row r="34" spans="3:23" x14ac:dyDescent="0.25">
      <c r="F34" s="28" t="s">
        <v>954</v>
      </c>
      <c r="G34" s="13" t="s">
        <v>176</v>
      </c>
      <c r="H34" s="3"/>
      <c r="I34" s="3"/>
      <c r="J34" s="137">
        <v>0</v>
      </c>
      <c r="K34" s="137">
        <v>0</v>
      </c>
      <c r="L34" s="137">
        <v>1</v>
      </c>
      <c r="M34" s="137">
        <v>0</v>
      </c>
      <c r="S34" s="3"/>
      <c r="T34" s="3"/>
      <c r="U34" s="3"/>
      <c r="W34" s="3"/>
    </row>
    <row r="35" spans="3:23" x14ac:dyDescent="0.25">
      <c r="F35" s="28" t="s">
        <v>948</v>
      </c>
      <c r="G35" s="13" t="s">
        <v>176</v>
      </c>
      <c r="H35" s="3"/>
      <c r="I35" s="3"/>
      <c r="J35" s="137">
        <v>0</v>
      </c>
      <c r="K35" s="137">
        <v>1</v>
      </c>
      <c r="L35" s="137">
        <v>0</v>
      </c>
      <c r="M35" s="137">
        <v>0</v>
      </c>
      <c r="S35" s="3"/>
      <c r="T35" s="3"/>
      <c r="U35" s="3"/>
      <c r="W35" s="3"/>
    </row>
    <row r="36" spans="3:23" x14ac:dyDescent="0.25">
      <c r="F36" s="67" t="s">
        <v>953</v>
      </c>
      <c r="G36" s="86" t="s">
        <v>176</v>
      </c>
      <c r="H36" s="76"/>
      <c r="I36" s="76"/>
      <c r="J36" s="138">
        <v>0</v>
      </c>
      <c r="K36" s="138">
        <v>1</v>
      </c>
      <c r="L36" s="138">
        <v>0</v>
      </c>
      <c r="M36" s="13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25">
      <c r="E40" s="32" t="s">
        <v>413</v>
      </c>
      <c r="H40" s="3"/>
      <c r="I40" s="3" t="s">
        <v>154</v>
      </c>
      <c r="J40" s="3"/>
      <c r="K40" s="3"/>
      <c r="L40" s="3"/>
      <c r="M40" s="3"/>
      <c r="N40" s="3"/>
      <c r="O40" s="3"/>
      <c r="P40" s="3"/>
      <c r="Q40" s="3"/>
      <c r="R40" s="3"/>
      <c r="S40" s="3"/>
      <c r="T40" s="3"/>
      <c r="U40" s="3"/>
      <c r="W40" s="3" t="s">
        <v>414</v>
      </c>
    </row>
    <row r="41" spans="3:23" x14ac:dyDescent="0.25">
      <c r="E41" s="29" t="s">
        <v>415</v>
      </c>
      <c r="H41" s="3"/>
      <c r="I41" s="3"/>
      <c r="J41" s="3"/>
      <c r="K41" s="3"/>
      <c r="L41" s="3"/>
      <c r="M41" s="3"/>
      <c r="N41" s="3"/>
      <c r="O41" s="3"/>
      <c r="P41" s="3"/>
      <c r="Q41" s="3"/>
      <c r="R41" s="3"/>
      <c r="S41" s="3"/>
      <c r="T41" s="3"/>
      <c r="U41" s="3"/>
      <c r="W41" s="3"/>
    </row>
    <row r="42" spans="3:23" x14ac:dyDescent="0.25">
      <c r="E42" s="32"/>
      <c r="F42" s="139"/>
      <c r="G42" s="139"/>
      <c r="H42" s="139"/>
      <c r="I42" s="139"/>
      <c r="J42" s="139" t="s">
        <v>189</v>
      </c>
      <c r="K42" s="140" t="s">
        <v>191</v>
      </c>
      <c r="L42" s="140" t="s">
        <v>192</v>
      </c>
      <c r="M42" s="140" t="s">
        <v>193</v>
      </c>
      <c r="N42" s="140" t="s">
        <v>194</v>
      </c>
      <c r="O42" s="140" t="s">
        <v>195</v>
      </c>
      <c r="P42" s="140" t="s">
        <v>196</v>
      </c>
      <c r="Q42" s="140" t="s">
        <v>197</v>
      </c>
      <c r="R42" s="140" t="s">
        <v>198</v>
      </c>
      <c r="S42" s="140" t="s">
        <v>199</v>
      </c>
      <c r="T42" s="140" t="s">
        <v>376</v>
      </c>
      <c r="U42" s="140" t="s">
        <v>377</v>
      </c>
    </row>
    <row r="43" spans="3:23" x14ac:dyDescent="0.25">
      <c r="F43" s="28" t="s">
        <v>186</v>
      </c>
      <c r="G43" s="72" t="s">
        <v>167</v>
      </c>
      <c r="H43" s="3"/>
      <c r="I43" s="3"/>
      <c r="J43" s="66"/>
      <c r="K43" s="66"/>
      <c r="L43" s="25">
        <f>'Inputs by network level'!L26</f>
        <v>0</v>
      </c>
      <c r="M43" s="25">
        <f>'Inputs by network level'!M26</f>
        <v>0</v>
      </c>
      <c r="N43" s="25">
        <f>'Inputs by network level'!N26</f>
        <v>6.4338235294117696E-3</v>
      </c>
      <c r="O43" s="25">
        <f>'Inputs by network level'!O26</f>
        <v>4.1617122473246101E-3</v>
      </c>
      <c r="P43" s="25">
        <f>'Inputs by network level'!P26</f>
        <v>0</v>
      </c>
      <c r="Q43" s="25">
        <f>'Inputs by network level'!Q26</f>
        <v>0.42522380337704002</v>
      </c>
      <c r="R43" s="25">
        <f>'Inputs by network level'!R26</f>
        <v>0.78260869565217395</v>
      </c>
      <c r="S43" s="25">
        <f>'Inputs by network level'!S26</f>
        <v>0.966742252456538</v>
      </c>
      <c r="T43" s="66"/>
      <c r="U43" s="66"/>
      <c r="W43" s="3"/>
    </row>
    <row r="44" spans="3:23" x14ac:dyDescent="0.25">
      <c r="F44" s="28" t="s">
        <v>185</v>
      </c>
      <c r="G44" s="72" t="s">
        <v>167</v>
      </c>
      <c r="H44" s="3"/>
      <c r="I44" s="3"/>
      <c r="J44" s="66"/>
      <c r="K44" s="66"/>
      <c r="L44" s="25">
        <f>'Inputs by network level'!L27</f>
        <v>0</v>
      </c>
      <c r="M44" s="25">
        <f>'Inputs by network level'!M27</f>
        <v>0</v>
      </c>
      <c r="N44" s="25">
        <f>'Inputs by network level'!N27</f>
        <v>6.4338235294117696E-3</v>
      </c>
      <c r="O44" s="25">
        <f>'Inputs by network level'!O27</f>
        <v>4.1617122473246101E-3</v>
      </c>
      <c r="P44" s="25">
        <f>'Inputs by network level'!P27</f>
        <v>0</v>
      </c>
      <c r="Q44" s="25">
        <f>'Inputs by network level'!Q27</f>
        <v>0.42522380337704002</v>
      </c>
      <c r="R44" s="25">
        <f>'Inputs by network level'!R27</f>
        <v>0.78260869565217395</v>
      </c>
      <c r="S44" s="25">
        <f>'Inputs by network level'!S27</f>
        <v>0</v>
      </c>
      <c r="T44" s="66"/>
      <c r="U44" s="66"/>
      <c r="W44" s="3"/>
    </row>
    <row r="45" spans="3:23" x14ac:dyDescent="0.25">
      <c r="F45" s="28" t="s">
        <v>184</v>
      </c>
      <c r="G45" s="72" t="s">
        <v>167</v>
      </c>
      <c r="H45" s="3"/>
      <c r="I45" s="3"/>
      <c r="J45" s="66"/>
      <c r="K45" s="66"/>
      <c r="L45" s="25">
        <f>'Inputs by network level'!L28</f>
        <v>0</v>
      </c>
      <c r="M45" s="25">
        <f>'Inputs by network level'!M28</f>
        <v>0</v>
      </c>
      <c r="N45" s="25">
        <f>'Inputs by network level'!N28</f>
        <v>1.16978609625668E-2</v>
      </c>
      <c r="O45" s="25">
        <f>'Inputs by network level'!O28</f>
        <v>7.56674954059021E-3</v>
      </c>
      <c r="P45" s="25">
        <f>'Inputs by network level'!P28</f>
        <v>0</v>
      </c>
      <c r="Q45" s="25">
        <f>'Inputs by network level'!Q28</f>
        <v>0.38896884219615702</v>
      </c>
      <c r="R45" s="25">
        <f>'Inputs by network level'!R28</f>
        <v>0</v>
      </c>
      <c r="S45" s="25">
        <f>'Inputs by network level'!S28</f>
        <v>0</v>
      </c>
      <c r="T45" s="66"/>
      <c r="U45" s="66"/>
      <c r="W45" s="3"/>
    </row>
    <row r="46" spans="3:23" x14ac:dyDescent="0.25">
      <c r="F46" s="67" t="s">
        <v>183</v>
      </c>
      <c r="G46" s="80" t="s">
        <v>167</v>
      </c>
      <c r="H46" s="76"/>
      <c r="I46" s="76"/>
      <c r="J46" s="68"/>
      <c r="K46" s="68"/>
      <c r="L46" s="141">
        <f>'Inputs by network level'!L29</f>
        <v>0</v>
      </c>
      <c r="M46" s="141">
        <f>'Inputs by network level'!M29</f>
        <v>0</v>
      </c>
      <c r="N46" s="141">
        <f>'Inputs by network level'!N29</f>
        <v>1.16978609625668E-2</v>
      </c>
      <c r="O46" s="141">
        <f>'Inputs by network level'!O29</f>
        <v>7.56674954059021E-3</v>
      </c>
      <c r="P46" s="141">
        <f>'Inputs by network level'!P29</f>
        <v>0</v>
      </c>
      <c r="Q46" s="141">
        <f>'Inputs by network level'!Q29</f>
        <v>0</v>
      </c>
      <c r="R46" s="141">
        <f>'Inputs by network level'!R29</f>
        <v>0</v>
      </c>
      <c r="S46" s="141">
        <f>'Inputs by network level'!S29</f>
        <v>0</v>
      </c>
      <c r="T46" s="68"/>
      <c r="U46" s="68"/>
      <c r="W46" s="3"/>
    </row>
    <row r="47" spans="3:23" x14ac:dyDescent="0.25">
      <c r="G47" s="13"/>
      <c r="H47" s="3"/>
      <c r="I47" s="3"/>
      <c r="J47" s="3"/>
      <c r="K47" s="3"/>
      <c r="L47" s="3"/>
      <c r="M47" s="3"/>
      <c r="N47" s="3"/>
      <c r="O47" s="3"/>
      <c r="P47" s="3"/>
      <c r="Q47" s="3"/>
      <c r="R47" s="3"/>
      <c r="S47" s="3"/>
      <c r="T47" s="3"/>
      <c r="U47" s="3"/>
      <c r="W47" s="3"/>
    </row>
    <row r="48" spans="3:23" x14ac:dyDescent="0.25">
      <c r="E48" s="32" t="s">
        <v>416</v>
      </c>
      <c r="H48" s="13"/>
      <c r="I48" s="3"/>
      <c r="J48" s="3"/>
      <c r="K48" s="3"/>
      <c r="L48" s="3"/>
      <c r="M48" s="3"/>
      <c r="N48" s="3"/>
      <c r="O48" s="3"/>
      <c r="P48" s="3"/>
      <c r="Q48" s="3"/>
      <c r="R48" s="3"/>
      <c r="S48" s="3"/>
      <c r="T48" s="3"/>
      <c r="U48" s="3"/>
      <c r="W48" s="3"/>
    </row>
    <row r="49" spans="5:23" x14ac:dyDescent="0.25">
      <c r="E49" s="29" t="s">
        <v>417</v>
      </c>
      <c r="H49" s="13"/>
      <c r="I49" s="3"/>
      <c r="J49" s="3"/>
      <c r="K49" s="3"/>
      <c r="L49" s="3"/>
      <c r="M49" s="3"/>
      <c r="N49" s="3"/>
      <c r="O49" s="3"/>
      <c r="P49" s="3"/>
      <c r="Q49" s="3"/>
      <c r="R49" s="3"/>
      <c r="S49" s="3"/>
      <c r="T49" s="3"/>
      <c r="U49" s="3"/>
      <c r="W49" s="3"/>
    </row>
    <row r="50" spans="5:23" x14ac:dyDescent="0.25">
      <c r="F50" s="139"/>
      <c r="G50" s="139"/>
      <c r="H50" s="142"/>
      <c r="I50" s="139"/>
      <c r="J50" s="139" t="s">
        <v>189</v>
      </c>
      <c r="K50" s="140" t="s">
        <v>191</v>
      </c>
      <c r="L50" s="140" t="s">
        <v>192</v>
      </c>
      <c r="M50" s="140" t="s">
        <v>193</v>
      </c>
      <c r="N50" s="140" t="s">
        <v>194</v>
      </c>
      <c r="O50" s="140" t="s">
        <v>195</v>
      </c>
      <c r="P50" s="140" t="s">
        <v>196</v>
      </c>
      <c r="Q50" s="140" t="s">
        <v>197</v>
      </c>
      <c r="R50" s="140" t="s">
        <v>198</v>
      </c>
      <c r="S50" s="140" t="s">
        <v>199</v>
      </c>
      <c r="T50" s="140" t="s">
        <v>376</v>
      </c>
      <c r="U50" s="140" t="s">
        <v>377</v>
      </c>
      <c r="W50" s="3"/>
    </row>
    <row r="51" spans="5:23" x14ac:dyDescent="0.25">
      <c r="F51" s="28" t="s">
        <v>940</v>
      </c>
      <c r="G51" s="28"/>
      <c r="H51" s="72" t="s">
        <v>167</v>
      </c>
      <c r="J51" s="70"/>
      <c r="K51" s="70"/>
      <c r="L51" s="111">
        <f t="shared" ref="L51:S60" si="0">$M21 * L$43 + $L21 * L$44 + $K21 * L$45 + $J21 * L$46</f>
        <v>0</v>
      </c>
      <c r="M51" s="111">
        <f t="shared" si="0"/>
        <v>0</v>
      </c>
      <c r="N51" s="111">
        <f t="shared" si="0"/>
        <v>6.4338235294117696E-3</v>
      </c>
      <c r="O51" s="111">
        <f t="shared" si="0"/>
        <v>4.1617122473246101E-3</v>
      </c>
      <c r="P51" s="111">
        <f t="shared" si="0"/>
        <v>0</v>
      </c>
      <c r="Q51" s="111">
        <f t="shared" si="0"/>
        <v>0.42522380337704002</v>
      </c>
      <c r="R51" s="111">
        <f t="shared" si="0"/>
        <v>0.78260869565217395</v>
      </c>
      <c r="S51" s="111">
        <f t="shared" si="0"/>
        <v>0.966742252456538</v>
      </c>
      <c r="T51" s="70"/>
      <c r="U51" s="70"/>
    </row>
    <row r="52" spans="5:23" x14ac:dyDescent="0.25">
      <c r="F52" s="28" t="s">
        <v>942</v>
      </c>
      <c r="G52" s="28"/>
      <c r="H52" s="72" t="s">
        <v>167</v>
      </c>
      <c r="J52" s="70"/>
      <c r="K52" s="70"/>
      <c r="L52" s="111">
        <f t="shared" si="0"/>
        <v>0</v>
      </c>
      <c r="M52" s="111">
        <f t="shared" si="0"/>
        <v>0</v>
      </c>
      <c r="N52" s="111">
        <f t="shared" si="0"/>
        <v>6.4338235294117696E-3</v>
      </c>
      <c r="O52" s="111">
        <f t="shared" si="0"/>
        <v>4.1617122473246101E-3</v>
      </c>
      <c r="P52" s="111">
        <f t="shared" si="0"/>
        <v>0</v>
      </c>
      <c r="Q52" s="111">
        <f t="shared" si="0"/>
        <v>0.42522380337704002</v>
      </c>
      <c r="R52" s="111">
        <f t="shared" si="0"/>
        <v>0.78260869565217395</v>
      </c>
      <c r="S52" s="111">
        <f t="shared" si="0"/>
        <v>0.966742252456538</v>
      </c>
      <c r="T52" s="70"/>
      <c r="U52" s="70"/>
    </row>
    <row r="53" spans="5:23" x14ac:dyDescent="0.25">
      <c r="F53" s="28" t="s">
        <v>941</v>
      </c>
      <c r="G53" s="28"/>
      <c r="H53" s="72" t="s">
        <v>167</v>
      </c>
      <c r="J53" s="70"/>
      <c r="K53" s="70"/>
      <c r="L53" s="111">
        <f t="shared" si="0"/>
        <v>0</v>
      </c>
      <c r="M53" s="111">
        <f t="shared" si="0"/>
        <v>0</v>
      </c>
      <c r="N53" s="111">
        <f t="shared" si="0"/>
        <v>6.4338235294117696E-3</v>
      </c>
      <c r="O53" s="111">
        <f t="shared" si="0"/>
        <v>4.1617122473246101E-3</v>
      </c>
      <c r="P53" s="111">
        <f t="shared" si="0"/>
        <v>0</v>
      </c>
      <c r="Q53" s="111">
        <f t="shared" si="0"/>
        <v>0.42522380337704002</v>
      </c>
      <c r="R53" s="111">
        <f t="shared" si="0"/>
        <v>0.78260869565217395</v>
      </c>
      <c r="S53" s="111">
        <f t="shared" si="0"/>
        <v>0.966742252456538</v>
      </c>
      <c r="T53" s="70"/>
      <c r="U53" s="70"/>
    </row>
    <row r="54" spans="5:23" x14ac:dyDescent="0.25">
      <c r="F54" s="28" t="s">
        <v>943</v>
      </c>
      <c r="G54" s="28"/>
      <c r="H54" s="72" t="s">
        <v>167</v>
      </c>
      <c r="J54" s="70"/>
      <c r="K54" s="70"/>
      <c r="L54" s="111">
        <f t="shared" si="0"/>
        <v>0</v>
      </c>
      <c r="M54" s="111">
        <f t="shared" si="0"/>
        <v>0</v>
      </c>
      <c r="N54" s="111">
        <f t="shared" si="0"/>
        <v>6.4338235294117696E-3</v>
      </c>
      <c r="O54" s="111">
        <f t="shared" si="0"/>
        <v>4.1617122473246101E-3</v>
      </c>
      <c r="P54" s="111">
        <f t="shared" si="0"/>
        <v>0</v>
      </c>
      <c r="Q54" s="111">
        <f t="shared" si="0"/>
        <v>0.42522380337704002</v>
      </c>
      <c r="R54" s="111">
        <f t="shared" si="0"/>
        <v>0.78260869565217395</v>
      </c>
      <c r="S54" s="111">
        <f t="shared" si="0"/>
        <v>0.966742252456538</v>
      </c>
      <c r="T54" s="70"/>
      <c r="U54" s="70"/>
    </row>
    <row r="55" spans="5:23" x14ac:dyDescent="0.25">
      <c r="F55" s="28" t="s">
        <v>949</v>
      </c>
      <c r="G55" s="28"/>
      <c r="H55" s="72" t="s">
        <v>167</v>
      </c>
      <c r="J55" s="70"/>
      <c r="K55" s="70"/>
      <c r="L55" s="111">
        <f t="shared" si="0"/>
        <v>0</v>
      </c>
      <c r="M55" s="111">
        <f t="shared" si="0"/>
        <v>0</v>
      </c>
      <c r="N55" s="111">
        <f t="shared" si="0"/>
        <v>6.4338235294117696E-3</v>
      </c>
      <c r="O55" s="111">
        <f t="shared" si="0"/>
        <v>4.1617122473246101E-3</v>
      </c>
      <c r="P55" s="111">
        <f t="shared" si="0"/>
        <v>0</v>
      </c>
      <c r="Q55" s="111">
        <f t="shared" si="0"/>
        <v>0.42522380337704002</v>
      </c>
      <c r="R55" s="111">
        <f t="shared" si="0"/>
        <v>0.78260869565217395</v>
      </c>
      <c r="S55" s="111">
        <f t="shared" si="0"/>
        <v>0.966742252456538</v>
      </c>
      <c r="T55" s="70"/>
      <c r="U55" s="70"/>
    </row>
    <row r="56" spans="5:23" x14ac:dyDescent="0.25">
      <c r="F56" s="28" t="s">
        <v>950</v>
      </c>
      <c r="G56" s="28"/>
      <c r="H56" s="72" t="s">
        <v>167</v>
      </c>
      <c r="J56" s="70"/>
      <c r="K56" s="70"/>
      <c r="L56" s="111">
        <f t="shared" si="0"/>
        <v>0</v>
      </c>
      <c r="M56" s="111">
        <f t="shared" si="0"/>
        <v>0</v>
      </c>
      <c r="N56" s="111">
        <f t="shared" si="0"/>
        <v>6.4338235294117696E-3</v>
      </c>
      <c r="O56" s="111">
        <f t="shared" si="0"/>
        <v>4.1617122473246101E-3</v>
      </c>
      <c r="P56" s="111">
        <f t="shared" si="0"/>
        <v>0</v>
      </c>
      <c r="Q56" s="111">
        <f t="shared" si="0"/>
        <v>0.42522380337704002</v>
      </c>
      <c r="R56" s="111">
        <f t="shared" si="0"/>
        <v>0.78260869565217395</v>
      </c>
      <c r="S56" s="111">
        <f t="shared" si="0"/>
        <v>0</v>
      </c>
      <c r="T56" s="70"/>
      <c r="U56" s="70"/>
    </row>
    <row r="57" spans="5:23" x14ac:dyDescent="0.25">
      <c r="F57" s="28" t="s">
        <v>951</v>
      </c>
      <c r="G57" s="28"/>
      <c r="H57" s="72" t="s">
        <v>167</v>
      </c>
      <c r="J57" s="70"/>
      <c r="K57" s="70"/>
      <c r="L57" s="111">
        <f t="shared" si="0"/>
        <v>0</v>
      </c>
      <c r="M57" s="111">
        <f t="shared" si="0"/>
        <v>0</v>
      </c>
      <c r="N57" s="111">
        <f t="shared" si="0"/>
        <v>1.16978609625668E-2</v>
      </c>
      <c r="O57" s="111">
        <f t="shared" si="0"/>
        <v>7.56674954059021E-3</v>
      </c>
      <c r="P57" s="111">
        <f t="shared" si="0"/>
        <v>0</v>
      </c>
      <c r="Q57" s="111">
        <f t="shared" si="0"/>
        <v>0.38896884219615702</v>
      </c>
      <c r="R57" s="111">
        <f t="shared" si="0"/>
        <v>0</v>
      </c>
      <c r="S57" s="111">
        <f t="shared" si="0"/>
        <v>0</v>
      </c>
      <c r="T57" s="70"/>
      <c r="U57" s="70"/>
    </row>
    <row r="58" spans="5:23" x14ac:dyDescent="0.25">
      <c r="F58" s="28" t="s">
        <v>952</v>
      </c>
      <c r="G58" s="28"/>
      <c r="H58" s="72" t="s">
        <v>167</v>
      </c>
      <c r="J58" s="70"/>
      <c r="K58" s="70"/>
      <c r="L58" s="111">
        <f t="shared" si="0"/>
        <v>0</v>
      </c>
      <c r="M58" s="111">
        <f t="shared" si="0"/>
        <v>0</v>
      </c>
      <c r="N58" s="111">
        <f t="shared" si="0"/>
        <v>6.4338235294117696E-3</v>
      </c>
      <c r="O58" s="111">
        <f t="shared" si="0"/>
        <v>4.1617122473246101E-3</v>
      </c>
      <c r="P58" s="111">
        <f t="shared" si="0"/>
        <v>0</v>
      </c>
      <c r="Q58" s="111">
        <f t="shared" si="0"/>
        <v>0.42522380337704002</v>
      </c>
      <c r="R58" s="111">
        <f t="shared" si="0"/>
        <v>0.78260869565217395</v>
      </c>
      <c r="S58" s="111">
        <f t="shared" si="0"/>
        <v>0.966742252456538</v>
      </c>
      <c r="T58" s="70"/>
      <c r="U58" s="70"/>
    </row>
    <row r="59" spans="5:23" x14ac:dyDescent="0.25">
      <c r="F59" s="28" t="s">
        <v>944</v>
      </c>
      <c r="G59" s="28"/>
      <c r="H59" s="72" t="s">
        <v>167</v>
      </c>
      <c r="J59" s="70"/>
      <c r="K59" s="70"/>
      <c r="L59" s="111">
        <f t="shared" si="0"/>
        <v>0</v>
      </c>
      <c r="M59" s="111">
        <f t="shared" si="0"/>
        <v>0</v>
      </c>
      <c r="N59" s="111">
        <f t="shared" si="0"/>
        <v>6.4338235294117696E-3</v>
      </c>
      <c r="O59" s="111">
        <f t="shared" si="0"/>
        <v>4.1617122473246101E-3</v>
      </c>
      <c r="P59" s="111">
        <f t="shared" si="0"/>
        <v>0</v>
      </c>
      <c r="Q59" s="111">
        <f t="shared" si="0"/>
        <v>0.42522380337704002</v>
      </c>
      <c r="R59" s="111">
        <f t="shared" si="0"/>
        <v>0.78260869565217395</v>
      </c>
      <c r="S59" s="111">
        <f t="shared" si="0"/>
        <v>0.966742252456538</v>
      </c>
      <c r="T59" s="70"/>
      <c r="U59" s="70"/>
    </row>
    <row r="60" spans="5:23" x14ac:dyDescent="0.25">
      <c r="F60" s="28" t="s">
        <v>945</v>
      </c>
      <c r="G60" s="28"/>
      <c r="H60" s="72" t="s">
        <v>167</v>
      </c>
      <c r="J60" s="70"/>
      <c r="K60" s="70"/>
      <c r="L60" s="111">
        <f t="shared" si="0"/>
        <v>0</v>
      </c>
      <c r="M60" s="111">
        <f t="shared" si="0"/>
        <v>0</v>
      </c>
      <c r="N60" s="111">
        <f t="shared" si="0"/>
        <v>6.4338235294117696E-3</v>
      </c>
      <c r="O60" s="111">
        <f t="shared" si="0"/>
        <v>4.1617122473246101E-3</v>
      </c>
      <c r="P60" s="111">
        <f t="shared" si="0"/>
        <v>0</v>
      </c>
      <c r="Q60" s="111">
        <f t="shared" si="0"/>
        <v>0.42522380337704002</v>
      </c>
      <c r="R60" s="111">
        <f t="shared" si="0"/>
        <v>0.78260869565217395</v>
      </c>
      <c r="S60" s="111">
        <f t="shared" si="0"/>
        <v>0</v>
      </c>
      <c r="T60" s="70"/>
      <c r="U60" s="70"/>
    </row>
    <row r="61" spans="5:23" x14ac:dyDescent="0.25">
      <c r="F61" s="28" t="s">
        <v>946</v>
      </c>
      <c r="G61" s="28"/>
      <c r="H61" s="72" t="s">
        <v>167</v>
      </c>
      <c r="J61" s="70"/>
      <c r="K61" s="70"/>
      <c r="L61" s="111">
        <f t="shared" ref="L61:S66" si="1">$M31 * L$43 + $L31 * L$44 + $K31 * L$45 + $J31 * L$46</f>
        <v>0</v>
      </c>
      <c r="M61" s="111">
        <f t="shared" si="1"/>
        <v>0</v>
      </c>
      <c r="N61" s="111">
        <f t="shared" si="1"/>
        <v>6.4338235294117696E-3</v>
      </c>
      <c r="O61" s="111">
        <f t="shared" si="1"/>
        <v>4.1617122473246101E-3</v>
      </c>
      <c r="P61" s="111">
        <f t="shared" si="1"/>
        <v>0</v>
      </c>
      <c r="Q61" s="111">
        <f t="shared" si="1"/>
        <v>0.42522380337704002</v>
      </c>
      <c r="R61" s="111">
        <f t="shared" si="1"/>
        <v>0.78260869565217395</v>
      </c>
      <c r="S61" s="111">
        <f t="shared" si="1"/>
        <v>0.966742252456538</v>
      </c>
      <c r="T61" s="70"/>
      <c r="U61" s="70"/>
    </row>
    <row r="62" spans="5:23" x14ac:dyDescent="0.25">
      <c r="F62" s="28" t="s">
        <v>955</v>
      </c>
      <c r="G62" s="28"/>
      <c r="H62" s="72" t="s">
        <v>167</v>
      </c>
      <c r="J62" s="70"/>
      <c r="K62" s="70"/>
      <c r="L62" s="111">
        <f t="shared" si="1"/>
        <v>0</v>
      </c>
      <c r="M62" s="111">
        <f t="shared" si="1"/>
        <v>0</v>
      </c>
      <c r="N62" s="111">
        <f t="shared" si="1"/>
        <v>6.4338235294117696E-3</v>
      </c>
      <c r="O62" s="111">
        <f t="shared" si="1"/>
        <v>4.1617122473246101E-3</v>
      </c>
      <c r="P62" s="111">
        <f t="shared" si="1"/>
        <v>0</v>
      </c>
      <c r="Q62" s="111">
        <f t="shared" si="1"/>
        <v>0.42522380337704002</v>
      </c>
      <c r="R62" s="111">
        <f t="shared" si="1"/>
        <v>0.78260869565217395</v>
      </c>
      <c r="S62" s="111">
        <f t="shared" si="1"/>
        <v>0.966742252456538</v>
      </c>
      <c r="T62" s="70"/>
      <c r="U62" s="70"/>
    </row>
    <row r="63" spans="5:23" x14ac:dyDescent="0.25">
      <c r="F63" s="28" t="s">
        <v>947</v>
      </c>
      <c r="G63" s="28"/>
      <c r="H63" s="72" t="s">
        <v>167</v>
      </c>
      <c r="J63" s="70"/>
      <c r="K63" s="70"/>
      <c r="L63" s="111">
        <f t="shared" si="1"/>
        <v>0</v>
      </c>
      <c r="M63" s="111">
        <f t="shared" si="1"/>
        <v>0</v>
      </c>
      <c r="N63" s="111">
        <f t="shared" si="1"/>
        <v>6.4338235294117696E-3</v>
      </c>
      <c r="O63" s="111">
        <f t="shared" si="1"/>
        <v>4.1617122473246101E-3</v>
      </c>
      <c r="P63" s="111">
        <f t="shared" si="1"/>
        <v>0</v>
      </c>
      <c r="Q63" s="111">
        <f t="shared" si="1"/>
        <v>0.42522380337704002</v>
      </c>
      <c r="R63" s="111">
        <f t="shared" si="1"/>
        <v>0.78260869565217395</v>
      </c>
      <c r="S63" s="111">
        <f t="shared" si="1"/>
        <v>0</v>
      </c>
      <c r="T63" s="70"/>
      <c r="U63" s="70"/>
    </row>
    <row r="64" spans="5:23" x14ac:dyDescent="0.25">
      <c r="F64" s="28" t="s">
        <v>954</v>
      </c>
      <c r="G64" s="28"/>
      <c r="H64" s="72" t="s">
        <v>167</v>
      </c>
      <c r="J64" s="70"/>
      <c r="K64" s="70"/>
      <c r="L64" s="111">
        <f t="shared" si="1"/>
        <v>0</v>
      </c>
      <c r="M64" s="111">
        <f t="shared" si="1"/>
        <v>0</v>
      </c>
      <c r="N64" s="111">
        <f t="shared" si="1"/>
        <v>6.4338235294117696E-3</v>
      </c>
      <c r="O64" s="111">
        <f t="shared" si="1"/>
        <v>4.1617122473246101E-3</v>
      </c>
      <c r="P64" s="111">
        <f t="shared" si="1"/>
        <v>0</v>
      </c>
      <c r="Q64" s="111">
        <f t="shared" si="1"/>
        <v>0.42522380337704002</v>
      </c>
      <c r="R64" s="111">
        <f t="shared" si="1"/>
        <v>0.78260869565217395</v>
      </c>
      <c r="S64" s="111">
        <f t="shared" si="1"/>
        <v>0</v>
      </c>
      <c r="T64" s="70"/>
      <c r="U64" s="70"/>
    </row>
    <row r="65" spans="2:23" x14ac:dyDescent="0.25">
      <c r="F65" s="28" t="s">
        <v>948</v>
      </c>
      <c r="G65" s="28"/>
      <c r="H65" s="72" t="s">
        <v>167</v>
      </c>
      <c r="J65" s="70"/>
      <c r="K65" s="70"/>
      <c r="L65" s="111">
        <f t="shared" si="1"/>
        <v>0</v>
      </c>
      <c r="M65" s="111">
        <f t="shared" si="1"/>
        <v>0</v>
      </c>
      <c r="N65" s="111">
        <f t="shared" si="1"/>
        <v>1.16978609625668E-2</v>
      </c>
      <c r="O65" s="111">
        <f t="shared" si="1"/>
        <v>7.56674954059021E-3</v>
      </c>
      <c r="P65" s="111">
        <f t="shared" si="1"/>
        <v>0</v>
      </c>
      <c r="Q65" s="111">
        <f t="shared" si="1"/>
        <v>0.38896884219615702</v>
      </c>
      <c r="R65" s="111">
        <f t="shared" si="1"/>
        <v>0</v>
      </c>
      <c r="S65" s="111">
        <f t="shared" si="1"/>
        <v>0</v>
      </c>
      <c r="T65" s="70"/>
      <c r="U65" s="70"/>
    </row>
    <row r="66" spans="2:23" x14ac:dyDescent="0.25">
      <c r="F66" s="67" t="s">
        <v>953</v>
      </c>
      <c r="G66" s="67"/>
      <c r="H66" s="80" t="s">
        <v>167</v>
      </c>
      <c r="I66" s="37"/>
      <c r="J66" s="71"/>
      <c r="K66" s="71"/>
      <c r="L66" s="143">
        <f t="shared" si="1"/>
        <v>0</v>
      </c>
      <c r="M66" s="143">
        <f t="shared" si="1"/>
        <v>0</v>
      </c>
      <c r="N66" s="143">
        <f t="shared" si="1"/>
        <v>1.16978609625668E-2</v>
      </c>
      <c r="O66" s="143">
        <f t="shared" si="1"/>
        <v>7.56674954059021E-3</v>
      </c>
      <c r="P66" s="143">
        <f t="shared" si="1"/>
        <v>0</v>
      </c>
      <c r="Q66" s="143">
        <f t="shared" si="1"/>
        <v>0.38896884219615702</v>
      </c>
      <c r="R66" s="143">
        <f t="shared" si="1"/>
        <v>0</v>
      </c>
      <c r="S66" s="143">
        <f t="shared" si="1"/>
        <v>0</v>
      </c>
      <c r="T66" s="71"/>
      <c r="U66" s="71"/>
    </row>
    <row r="68" spans="2:23" x14ac:dyDescent="0.25">
      <c r="B68" s="30" t="s">
        <v>231</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25">
      <c r="E70" t="s">
        <v>232</v>
      </c>
      <c r="G70" s="6" t="s">
        <v>55</v>
      </c>
      <c r="H70" s="26">
        <f t="array" ref="H70">SUM(IF(ISERROR(H21:U66), 1))</f>
        <v>0</v>
      </c>
    </row>
    <row r="72" spans="2:23" x14ac:dyDescent="0.25">
      <c r="B72" s="30" t="s">
        <v>106</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H70">
    <cfRule type="cellIs" dxfId="167" priority="3" operator="greaterThan">
      <formula>0</formula>
    </cfRule>
  </conditionalFormatting>
  <conditionalFormatting sqref="A4:XFD4">
    <cfRule type="expression" dxfId="166" priority="2">
      <formula>LEFT($A$4,1) &lt;&gt; "0"</formula>
    </cfRule>
  </conditionalFormatting>
  <conditionalFormatting sqref="J5:U5">
    <cfRule type="expression" dxfId="165" priority="1">
      <formula>LEFT($A$4,1) &lt;&gt; "0"</formula>
    </cfRule>
  </conditionalFormatting>
  <hyperlinks>
    <hyperlink ref="B5:F5" location="'Model map'!A1" display="Click here to return to model map" xr:uid="{00000000-0004-0000-0B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4" tint="0.59999389629810485"/>
    <pageSetUpPr fitToPage="1"/>
  </sheetPr>
  <dimension ref="A1:LH14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Volume adjustments</v>
      </c>
    </row>
    <row r="2" spans="1:43" s="1" customFormat="1" x14ac:dyDescent="0.25">
      <c r="A2" s="1" t="str">
        <f>Cover!D21&amp;" - "&amp;Cover!D23</f>
        <v xml:space="preserve">SHEPD  - Final </v>
      </c>
    </row>
    <row r="3" spans="1:43" s="5" customFormat="1" x14ac:dyDescent="0.25">
      <c r="A3" s="5" t="str">
        <f>Cover!D2&amp;" - "&amp;Cover!D8&amp;" v"&amp;Cover!D10&amp;" - "&amp;Cover!D19</f>
        <v>CDCM charging model - Release for charge setting v5 - 2021/22</v>
      </c>
    </row>
    <row r="4" spans="1:43" x14ac:dyDescent="0.25">
      <c r="A4" s="12" t="str">
        <f>H140 &amp; IF(H140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418</v>
      </c>
    </row>
    <row r="10" spans="1:43" x14ac:dyDescent="0.25">
      <c r="C10" s="29" t="s">
        <v>419</v>
      </c>
    </row>
    <row r="11" spans="1:43" x14ac:dyDescent="0.25">
      <c r="C11" s="29" t="s">
        <v>420</v>
      </c>
    </row>
    <row r="13" spans="1:43" x14ac:dyDescent="0.25">
      <c r="B13" s="30" t="s">
        <v>421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25">
      <c r="C14" s="29"/>
    </row>
    <row r="15" spans="1:43" x14ac:dyDescent="0.25">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25">
      <c r="C16" s="29"/>
    </row>
    <row r="17" spans="4:43" x14ac:dyDescent="0.25">
      <c r="D17" s="29" t="s">
        <v>422</v>
      </c>
    </row>
    <row r="18" spans="4:43" x14ac:dyDescent="0.25">
      <c r="D18" s="29" t="s">
        <v>423</v>
      </c>
    </row>
    <row r="19" spans="4:43" x14ac:dyDescent="0.25">
      <c r="D19" s="29"/>
    </row>
    <row r="20" spans="4:43" x14ac:dyDescent="0.25">
      <c r="E20" s="88" t="s">
        <v>424</v>
      </c>
      <c r="I20" t="s">
        <v>154</v>
      </c>
      <c r="J20" s="63"/>
      <c r="K20" s="63"/>
      <c r="L20" s="63"/>
      <c r="M20" s="63"/>
      <c r="N20" s="63"/>
      <c r="O20" s="63"/>
      <c r="P20" s="63"/>
      <c r="Q20" s="63"/>
      <c r="R20" s="63"/>
      <c r="S20" s="63"/>
      <c r="T20" s="63"/>
      <c r="U20" s="63"/>
      <c r="V20" s="63"/>
      <c r="W20" s="63"/>
      <c r="X20" s="63"/>
      <c r="Y20" s="63"/>
    </row>
    <row r="21" spans="4:43" x14ac:dyDescent="0.25">
      <c r="E21" s="29" t="s">
        <v>425</v>
      </c>
      <c r="AA21" t="s">
        <v>426</v>
      </c>
    </row>
    <row r="22" spans="4:43" x14ac:dyDescent="0.25">
      <c r="F22" s="23" t="s">
        <v>175</v>
      </c>
      <c r="G22" s="23" t="s">
        <v>167</v>
      </c>
      <c r="H22" s="107">
        <f>'General inputs'!H30</f>
        <v>0.29479317285654288</v>
      </c>
      <c r="AQ22" s="3"/>
    </row>
    <row r="23" spans="4:43" x14ac:dyDescent="0.25">
      <c r="F23" t="s">
        <v>177</v>
      </c>
      <c r="G23" t="s">
        <v>167</v>
      </c>
      <c r="H23" s="25">
        <f>'General inputs'!H31</f>
        <v>0.54819720177752518</v>
      </c>
      <c r="AQ23" s="3"/>
    </row>
    <row r="24" spans="4:43" x14ac:dyDescent="0.25">
      <c r="F24" t="s">
        <v>178</v>
      </c>
      <c r="G24" t="s">
        <v>167</v>
      </c>
      <c r="H24" s="25">
        <f>'General inputs'!H32</f>
        <v>0.34468988968544823</v>
      </c>
      <c r="AQ24" s="3"/>
    </row>
    <row r="25" spans="4:43" x14ac:dyDescent="0.25">
      <c r="F25" s="37" t="s">
        <v>179</v>
      </c>
      <c r="G25" s="37" t="s">
        <v>167</v>
      </c>
      <c r="H25" s="141">
        <f>'General inputs'!H33</f>
        <v>0.28277507764655163</v>
      </c>
      <c r="AQ25" s="3"/>
    </row>
    <row r="27" spans="4:43" x14ac:dyDescent="0.25">
      <c r="E27" s="32" t="s">
        <v>427</v>
      </c>
      <c r="I27" t="s">
        <v>154</v>
      </c>
      <c r="AA27" t="s">
        <v>428</v>
      </c>
      <c r="AQ27" s="3"/>
    </row>
    <row r="28" spans="4:43" x14ac:dyDescent="0.25">
      <c r="E28" s="29" t="s">
        <v>429</v>
      </c>
    </row>
    <row r="29" spans="4:43" x14ac:dyDescent="0.25">
      <c r="E29" s="29" t="s">
        <v>430</v>
      </c>
    </row>
    <row r="30" spans="4:43" x14ac:dyDescent="0.25">
      <c r="F30" s="23" t="s">
        <v>175</v>
      </c>
      <c r="G30" s="23" t="s">
        <v>176</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25">
      <c r="F31" t="s">
        <v>177</v>
      </c>
      <c r="G31" t="s">
        <v>176</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25">
      <c r="F32" t="s">
        <v>178</v>
      </c>
      <c r="G32" t="s">
        <v>176</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25">
      <c r="F33" s="37" t="s">
        <v>179</v>
      </c>
      <c r="G33" s="37" t="s">
        <v>176</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25">
      <c r="F34" s="28" t="s">
        <v>431</v>
      </c>
      <c r="G34" s="28" t="s">
        <v>167</v>
      </c>
      <c r="J34" s="145">
        <f t="shared" ref="J34:Y34" si="0">J30 * $H$22</f>
        <v>0.29479317285654288</v>
      </c>
      <c r="K34" s="145">
        <f t="shared" si="0"/>
        <v>0.29479317285654288</v>
      </c>
      <c r="L34" s="145">
        <f t="shared" si="0"/>
        <v>0.29479317285654288</v>
      </c>
      <c r="M34" s="145">
        <f t="shared" si="0"/>
        <v>0.29479317285654288</v>
      </c>
      <c r="N34" s="145">
        <f t="shared" si="0"/>
        <v>0.29479317285654288</v>
      </c>
      <c r="O34" s="145">
        <f t="shared" si="0"/>
        <v>0</v>
      </c>
      <c r="P34" s="145">
        <f t="shared" si="0"/>
        <v>0</v>
      </c>
      <c r="Q34" s="145">
        <f t="shared" si="0"/>
        <v>0.29479317285654288</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25">
      <c r="F35" s="28" t="s">
        <v>432</v>
      </c>
      <c r="G35" s="28" t="s">
        <v>167</v>
      </c>
      <c r="J35" s="145">
        <f t="shared" ref="J35:Y35" si="1">SUMPRODUCT(J31:J33,$H$23:$H$25)</f>
        <v>0.54819720177752518</v>
      </c>
      <c r="K35" s="145">
        <f t="shared" si="1"/>
        <v>0.54819720177752518</v>
      </c>
      <c r="L35" s="145">
        <f t="shared" si="1"/>
        <v>0.54819720177752518</v>
      </c>
      <c r="M35" s="145">
        <f t="shared" si="1"/>
        <v>0.54819720177752518</v>
      </c>
      <c r="N35" s="145">
        <f t="shared" si="1"/>
        <v>0.54819720177752518</v>
      </c>
      <c r="O35" s="145">
        <f t="shared" si="1"/>
        <v>0.34468988968544823</v>
      </c>
      <c r="P35" s="145">
        <f t="shared" si="1"/>
        <v>0.28277507764655163</v>
      </c>
      <c r="Q35" s="145">
        <f t="shared" si="1"/>
        <v>0.54819720177752518</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25">
      <c r="D36" s="32"/>
      <c r="AQ36" s="3"/>
    </row>
    <row r="37" spans="4:43" x14ac:dyDescent="0.25">
      <c r="E37" s="32" t="s">
        <v>433</v>
      </c>
      <c r="I37" t="s">
        <v>154</v>
      </c>
      <c r="AA37" t="s">
        <v>428</v>
      </c>
      <c r="AQ37" s="3"/>
    </row>
    <row r="38" spans="4:43" x14ac:dyDescent="0.25">
      <c r="E38" s="29" t="s">
        <v>434</v>
      </c>
    </row>
    <row r="39" spans="4:43" x14ac:dyDescent="0.25">
      <c r="F39" s="28" t="s">
        <v>435</v>
      </c>
      <c r="G39" s="28" t="s">
        <v>209</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25">
      <c r="F40" s="28" t="s">
        <v>436</v>
      </c>
      <c r="G40" s="28" t="s">
        <v>209</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25">
      <c r="F41" s="28" t="s">
        <v>437</v>
      </c>
      <c r="G41" s="28" t="s">
        <v>209</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25">
      <c r="F42" s="28" t="s">
        <v>438</v>
      </c>
      <c r="G42" s="28" t="s">
        <v>209</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25">
      <c r="F43" s="28" t="s">
        <v>439</v>
      </c>
      <c r="G43" s="28" t="s">
        <v>209</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25">
      <c r="D44" s="32"/>
      <c r="AQ44" s="3"/>
    </row>
    <row r="45" spans="4:43" x14ac:dyDescent="0.25">
      <c r="F45" s="28" t="s">
        <v>440</v>
      </c>
      <c r="G45" s="28" t="s">
        <v>167</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25">
      <c r="F46" s="28" t="s">
        <v>441</v>
      </c>
      <c r="G46" s="28" t="s">
        <v>167</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25">
      <c r="F47" s="28" t="s">
        <v>442</v>
      </c>
      <c r="G47" s="28" t="s">
        <v>167</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25">
      <c r="F48" s="28" t="s">
        <v>443</v>
      </c>
      <c r="G48" s="28" t="s">
        <v>167</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25">
      <c r="F49" s="28" t="s">
        <v>444</v>
      </c>
      <c r="G49" s="28" t="s">
        <v>167</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25">
      <c r="C50" s="32"/>
      <c r="AQ50" s="3"/>
    </row>
    <row r="51" spans="2:43" x14ac:dyDescent="0.25">
      <c r="B51" s="30" t="s">
        <v>445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25">
      <c r="C52" s="32"/>
      <c r="AQ52" s="3"/>
    </row>
    <row r="53" spans="2:43" x14ac:dyDescent="0.25">
      <c r="C53" s="29" t="s">
        <v>446</v>
      </c>
      <c r="AQ53" s="3"/>
    </row>
    <row r="54" spans="2:43" x14ac:dyDescent="0.25">
      <c r="C54" s="32"/>
      <c r="AQ54" s="3"/>
    </row>
    <row r="55" spans="2:43" x14ac:dyDescent="0.25">
      <c r="C55" s="31" t="str">
        <f ca="1">INDEX('Version control'!$H$34:$H$57,MATCH($A$1,'Version control'!$F$34:$F$57,0),1)&amp;"-B: Volume discounting"</f>
        <v>Section 104-B: Volume discounting</v>
      </c>
      <c r="D55" s="31"/>
      <c r="E55" s="31"/>
      <c r="F55" s="31"/>
      <c r="G55" s="31"/>
      <c r="H55" s="31"/>
      <c r="I55" s="31"/>
      <c r="J55" s="31"/>
      <c r="K55" s="31"/>
      <c r="L55" s="31"/>
      <c r="M55" s="31"/>
      <c r="N55" s="31"/>
      <c r="O55" s="31"/>
      <c r="P55" s="31"/>
      <c r="Q55" s="31"/>
      <c r="R55" s="31"/>
      <c r="S55" s="31"/>
      <c r="T55" s="31"/>
      <c r="U55" s="31"/>
      <c r="V55" s="31"/>
      <c r="W55" s="31"/>
      <c r="X55" s="31"/>
      <c r="Y55" s="31"/>
      <c r="Z55" s="31"/>
      <c r="AA55" s="31"/>
      <c r="AQ55" s="3"/>
    </row>
    <row r="56" spans="2:43" x14ac:dyDescent="0.25">
      <c r="C56" s="32"/>
      <c r="AQ56" s="3"/>
    </row>
    <row r="57" spans="2:43" x14ac:dyDescent="0.25">
      <c r="C57" s="29"/>
      <c r="E57" s="32" t="s">
        <v>156</v>
      </c>
      <c r="I57" t="s">
        <v>154</v>
      </c>
      <c r="AA57" t="s">
        <v>309</v>
      </c>
      <c r="AQ57" s="3"/>
    </row>
    <row r="58" spans="2:43" x14ac:dyDescent="0.25">
      <c r="C58" s="29"/>
      <c r="E58" s="32"/>
      <c r="AQ58" s="3"/>
    </row>
    <row r="59" spans="2:43" x14ac:dyDescent="0.25">
      <c r="F59" s="28" t="s">
        <v>447</v>
      </c>
      <c r="G59" s="28" t="s">
        <v>207</v>
      </c>
      <c r="J59" s="120">
        <f>'Inputs by customer type'!J21</f>
        <v>309997.02287506516</v>
      </c>
      <c r="K59" s="120">
        <f>'Inputs by customer type'!K21</f>
        <v>8828.0434583187307</v>
      </c>
      <c r="L59" s="120">
        <f>'Inputs by customer type'!L21</f>
        <v>102332.91509778659</v>
      </c>
      <c r="M59" s="120">
        <f>'Inputs by customer type'!M21</f>
        <v>3073.5191857693171</v>
      </c>
      <c r="N59" s="120">
        <f>'Inputs by customer type'!N21</f>
        <v>139476.11483398668</v>
      </c>
      <c r="O59" s="120">
        <f>'Inputs by customer type'!O21</f>
        <v>11182.587736095871</v>
      </c>
      <c r="P59" s="120">
        <f>'Inputs by customer type'!P21</f>
        <v>74688.838437210608</v>
      </c>
      <c r="Q59" s="120">
        <f>'Inputs by customer type'!Q21</f>
        <v>4332.2875548967631</v>
      </c>
      <c r="R59" s="120">
        <f>'Inputs by customer type'!R21</f>
        <v>658.01792802705074</v>
      </c>
      <c r="S59" s="120">
        <f>'Inputs by customer type'!S21</f>
        <v>0.40800000000000008</v>
      </c>
      <c r="T59" s="120">
        <f>'Inputs by customer type'!T21</f>
        <v>34142.676188495534</v>
      </c>
      <c r="U59" s="120">
        <f>'Inputs by customer type'!U21</f>
        <v>0</v>
      </c>
      <c r="V59" s="120">
        <f>'Inputs by customer type'!V21</f>
        <v>353.5321999999997</v>
      </c>
      <c r="W59" s="120">
        <f>'Inputs by customer type'!W21</f>
        <v>0</v>
      </c>
      <c r="X59" s="120">
        <f>'Inputs by customer type'!X21</f>
        <v>152551.54503003714</v>
      </c>
      <c r="Y59" s="120">
        <f>'Inputs by customer type'!Y21</f>
        <v>0</v>
      </c>
      <c r="AQ59" s="3"/>
    </row>
    <row r="60" spans="2:43" x14ac:dyDescent="0.25">
      <c r="F60" s="28" t="s">
        <v>448</v>
      </c>
      <c r="G60" s="28" t="s">
        <v>207</v>
      </c>
      <c r="J60" s="120">
        <f>'Inputs by customer type'!J30</f>
        <v>1134.6884748639145</v>
      </c>
      <c r="K60" s="120">
        <f>'Inputs by customer type'!K30</f>
        <v>0</v>
      </c>
      <c r="L60" s="120">
        <f>'Inputs by customer type'!L30</f>
        <v>13.120369177449744</v>
      </c>
      <c r="M60" s="120">
        <f>'Inputs by customer type'!M30</f>
        <v>0</v>
      </c>
      <c r="N60" s="120">
        <f>'Inputs by customer type'!N30</f>
        <v>184.6408725442231</v>
      </c>
      <c r="O60" s="120">
        <f>'Inputs by customer type'!O30</f>
        <v>0</v>
      </c>
      <c r="P60" s="120">
        <f>'Inputs by customer type'!P30</f>
        <v>0</v>
      </c>
      <c r="Q60" s="120">
        <f>'Inputs by customer type'!Q30</f>
        <v>24.920960167100297</v>
      </c>
      <c r="R60" s="120">
        <f>'Inputs by customer type'!R30</f>
        <v>0</v>
      </c>
      <c r="S60" s="120">
        <f>'Inputs by customer type'!S30</f>
        <v>0</v>
      </c>
      <c r="T60" s="120">
        <f>'Inputs by customer type'!T30</f>
        <v>0</v>
      </c>
      <c r="U60" s="120">
        <f>'Inputs by customer type'!U30</f>
        <v>0</v>
      </c>
      <c r="V60" s="120">
        <f>'Inputs by customer type'!V30</f>
        <v>0</v>
      </c>
      <c r="W60" s="120">
        <f>'Inputs by customer type'!W30</f>
        <v>0</v>
      </c>
      <c r="X60" s="120">
        <f>'Inputs by customer type'!X30</f>
        <v>0</v>
      </c>
      <c r="Y60" s="120">
        <f>'Inputs by customer type'!Y30</f>
        <v>0</v>
      </c>
      <c r="AQ60" s="3"/>
    </row>
    <row r="61" spans="2:43" x14ac:dyDescent="0.25">
      <c r="F61" s="28" t="s">
        <v>449</v>
      </c>
      <c r="G61" s="28" t="s">
        <v>207</v>
      </c>
      <c r="J61" s="120">
        <f>'Inputs by customer type'!J39</f>
        <v>2290.2312536012701</v>
      </c>
      <c r="K61" s="120">
        <f>'Inputs by customer type'!K39</f>
        <v>0</v>
      </c>
      <c r="L61" s="120">
        <f>'Inputs by customer type'!L39</f>
        <v>80.922738692857905</v>
      </c>
      <c r="M61" s="120">
        <f>'Inputs by customer type'!M39</f>
        <v>0</v>
      </c>
      <c r="N61" s="120">
        <f>'Inputs by customer type'!N39</f>
        <v>444.1232745299136</v>
      </c>
      <c r="O61" s="120">
        <f>'Inputs by customer type'!O39</f>
        <v>36.394848638932153</v>
      </c>
      <c r="P61" s="120">
        <f>'Inputs by customer type'!P39</f>
        <v>7.6924148326244985</v>
      </c>
      <c r="Q61" s="120">
        <f>'Inputs by customer type'!Q39</f>
        <v>0</v>
      </c>
      <c r="R61" s="120">
        <f>'Inputs by customer type'!R39</f>
        <v>0</v>
      </c>
      <c r="S61" s="120">
        <f>'Inputs by customer type'!S39</f>
        <v>0</v>
      </c>
      <c r="T61" s="120">
        <f>'Inputs by customer type'!T39</f>
        <v>0</v>
      </c>
      <c r="U61" s="120">
        <f>'Inputs by customer type'!U39</f>
        <v>0</v>
      </c>
      <c r="V61" s="120">
        <f>'Inputs by customer type'!V39</f>
        <v>0</v>
      </c>
      <c r="W61" s="120">
        <f>'Inputs by customer type'!W39</f>
        <v>0</v>
      </c>
      <c r="X61" s="120">
        <f>'Inputs by customer type'!X39</f>
        <v>0</v>
      </c>
      <c r="Y61" s="120">
        <f>'Inputs by customer type'!Y39</f>
        <v>0</v>
      </c>
      <c r="AQ61" s="3"/>
    </row>
    <row r="62" spans="2:43" x14ac:dyDescent="0.25">
      <c r="F62" s="28" t="s">
        <v>450</v>
      </c>
      <c r="G62" s="28" t="s">
        <v>167</v>
      </c>
      <c r="J62" s="111">
        <f t="shared" ref="J62:Y62" si="2">IF(J$39, J$45, J$34)</f>
        <v>0.29479317285654288</v>
      </c>
      <c r="K62" s="111">
        <f t="shared" si="2"/>
        <v>0.29479317285654288</v>
      </c>
      <c r="L62" s="111">
        <f t="shared" si="2"/>
        <v>0.29479317285654288</v>
      </c>
      <c r="M62" s="111">
        <f t="shared" si="2"/>
        <v>0.29479317285654288</v>
      </c>
      <c r="N62" s="111">
        <f t="shared" si="2"/>
        <v>0.29479317285654288</v>
      </c>
      <c r="O62" s="111">
        <f t="shared" si="2"/>
        <v>0</v>
      </c>
      <c r="P62" s="111">
        <f t="shared" si="2"/>
        <v>0</v>
      </c>
      <c r="Q62" s="111">
        <f t="shared" si="2"/>
        <v>0.29479317285654288</v>
      </c>
      <c r="R62" s="111">
        <f t="shared" si="2"/>
        <v>0</v>
      </c>
      <c r="S62" s="111">
        <f t="shared" si="2"/>
        <v>0</v>
      </c>
      <c r="T62" s="111">
        <f t="shared" si="2"/>
        <v>0</v>
      </c>
      <c r="U62" s="111">
        <f t="shared" si="2"/>
        <v>0</v>
      </c>
      <c r="V62" s="111">
        <f t="shared" si="2"/>
        <v>0</v>
      </c>
      <c r="W62" s="111">
        <f t="shared" si="2"/>
        <v>0</v>
      </c>
      <c r="X62" s="111">
        <f t="shared" si="2"/>
        <v>0</v>
      </c>
      <c r="Y62" s="111">
        <f t="shared" si="2"/>
        <v>0</v>
      </c>
      <c r="AQ62" s="3"/>
    </row>
    <row r="63" spans="2:43" x14ac:dyDescent="0.25">
      <c r="F63" s="28" t="s">
        <v>451</v>
      </c>
      <c r="G63" s="28" t="s">
        <v>167</v>
      </c>
      <c r="J63" s="111">
        <f t="shared" ref="J63:Y63" si="3">IF(J$39, J$45, J$35)</f>
        <v>0.54819720177752518</v>
      </c>
      <c r="K63" s="111">
        <f t="shared" si="3"/>
        <v>0.54819720177752518</v>
      </c>
      <c r="L63" s="111">
        <f t="shared" si="3"/>
        <v>0.54819720177752518</v>
      </c>
      <c r="M63" s="111">
        <f t="shared" si="3"/>
        <v>0.54819720177752518</v>
      </c>
      <c r="N63" s="111">
        <f t="shared" si="3"/>
        <v>0.54819720177752518</v>
      </c>
      <c r="O63" s="111">
        <f t="shared" si="3"/>
        <v>0.34468988968544823</v>
      </c>
      <c r="P63" s="111">
        <f t="shared" si="3"/>
        <v>0.28277507764655163</v>
      </c>
      <c r="Q63" s="111">
        <f t="shared" si="3"/>
        <v>0.54819720177752518</v>
      </c>
      <c r="R63" s="111">
        <f t="shared" si="3"/>
        <v>0</v>
      </c>
      <c r="S63" s="111">
        <f t="shared" si="3"/>
        <v>0</v>
      </c>
      <c r="T63" s="111">
        <f t="shared" si="3"/>
        <v>0</v>
      </c>
      <c r="U63" s="111">
        <f t="shared" si="3"/>
        <v>0</v>
      </c>
      <c r="V63" s="111">
        <f t="shared" si="3"/>
        <v>0</v>
      </c>
      <c r="W63" s="111">
        <f t="shared" si="3"/>
        <v>0</v>
      </c>
      <c r="X63" s="111">
        <f t="shared" si="3"/>
        <v>0</v>
      </c>
      <c r="Y63" s="111">
        <f t="shared" si="3"/>
        <v>0</v>
      </c>
      <c r="AQ63" s="3"/>
    </row>
    <row r="64" spans="2:43" x14ac:dyDescent="0.25">
      <c r="F64" s="28" t="s">
        <v>452</v>
      </c>
      <c r="G64" s="28" t="s">
        <v>207</v>
      </c>
      <c r="J64" s="98">
        <f t="shared" ref="J64:Y64" si="4">J60 * (1 - J62)</f>
        <v>800.19005915502953</v>
      </c>
      <c r="K64" s="98">
        <f t="shared" si="4"/>
        <v>0</v>
      </c>
      <c r="L64" s="98">
        <f t="shared" si="4"/>
        <v>9.2525739185801434</v>
      </c>
      <c r="M64" s="98">
        <f t="shared" si="4"/>
        <v>0</v>
      </c>
      <c r="N64" s="98">
        <f t="shared" si="4"/>
        <v>130.21000388791103</v>
      </c>
      <c r="O64" s="98">
        <f t="shared" si="4"/>
        <v>0</v>
      </c>
      <c r="P64" s="98">
        <f t="shared" si="4"/>
        <v>0</v>
      </c>
      <c r="Q64" s="98">
        <f t="shared" si="4"/>
        <v>17.57443124880928</v>
      </c>
      <c r="R64" s="98">
        <f t="shared" si="4"/>
        <v>0</v>
      </c>
      <c r="S64" s="98">
        <f t="shared" si="4"/>
        <v>0</v>
      </c>
      <c r="T64" s="98">
        <f t="shared" si="4"/>
        <v>0</v>
      </c>
      <c r="U64" s="98">
        <f t="shared" si="4"/>
        <v>0</v>
      </c>
      <c r="V64" s="98">
        <f t="shared" si="4"/>
        <v>0</v>
      </c>
      <c r="W64" s="98">
        <f t="shared" si="4"/>
        <v>0</v>
      </c>
      <c r="X64" s="98">
        <f t="shared" si="4"/>
        <v>0</v>
      </c>
      <c r="Y64" s="98">
        <f t="shared" si="4"/>
        <v>0</v>
      </c>
      <c r="AQ64" s="3"/>
    </row>
    <row r="65" spans="5:43" x14ac:dyDescent="0.25">
      <c r="F65" s="67" t="s">
        <v>453</v>
      </c>
      <c r="G65" s="67" t="s">
        <v>207</v>
      </c>
      <c r="H65" s="37"/>
      <c r="I65" s="37"/>
      <c r="J65" s="100">
        <f t="shared" ref="J65:Y65" si="5">J61 * (1 - J63)</f>
        <v>1034.7328889536202</v>
      </c>
      <c r="K65" s="100">
        <f t="shared" si="5"/>
        <v>0</v>
      </c>
      <c r="L65" s="100">
        <f t="shared" si="5"/>
        <v>36.561119781259336</v>
      </c>
      <c r="M65" s="100">
        <f t="shared" si="5"/>
        <v>0</v>
      </c>
      <c r="N65" s="100">
        <f t="shared" si="5"/>
        <v>200.65613818834333</v>
      </c>
      <c r="O65" s="100">
        <f t="shared" si="5"/>
        <v>23.849912276460042</v>
      </c>
      <c r="P65" s="100">
        <f t="shared" si="5"/>
        <v>5.5171916310396201</v>
      </c>
      <c r="Q65" s="100">
        <f t="shared" si="5"/>
        <v>0</v>
      </c>
      <c r="R65" s="100">
        <f t="shared" si="5"/>
        <v>0</v>
      </c>
      <c r="S65" s="100">
        <f t="shared" si="5"/>
        <v>0</v>
      </c>
      <c r="T65" s="100">
        <f t="shared" si="5"/>
        <v>0</v>
      </c>
      <c r="U65" s="100">
        <f t="shared" si="5"/>
        <v>0</v>
      </c>
      <c r="V65" s="100">
        <f t="shared" si="5"/>
        <v>0</v>
      </c>
      <c r="W65" s="100">
        <f t="shared" si="5"/>
        <v>0</v>
      </c>
      <c r="X65" s="100">
        <f t="shared" si="5"/>
        <v>0</v>
      </c>
      <c r="Y65" s="100">
        <f t="shared" si="5"/>
        <v>0</v>
      </c>
      <c r="AQ65" s="3"/>
    </row>
    <row r="66" spans="5:43" x14ac:dyDescent="0.25">
      <c r="F66" s="28" t="s">
        <v>454</v>
      </c>
      <c r="G66" s="28" t="s">
        <v>207</v>
      </c>
      <c r="J66" s="121">
        <f t="shared" ref="J66:Y66" si="6">J59 + J64 + J65</f>
        <v>311831.94582317385</v>
      </c>
      <c r="K66" s="121">
        <f t="shared" si="6"/>
        <v>8828.0434583187307</v>
      </c>
      <c r="L66" s="121">
        <f t="shared" si="6"/>
        <v>102378.72879148643</v>
      </c>
      <c r="M66" s="121">
        <f t="shared" si="6"/>
        <v>3073.5191857693171</v>
      </c>
      <c r="N66" s="121">
        <f t="shared" si="6"/>
        <v>139806.98097606294</v>
      </c>
      <c r="O66" s="121">
        <f t="shared" si="6"/>
        <v>11206.437648372332</v>
      </c>
      <c r="P66" s="121">
        <f t="shared" si="6"/>
        <v>74694.355628841644</v>
      </c>
      <c r="Q66" s="121">
        <f t="shared" si="6"/>
        <v>4349.8619861455727</v>
      </c>
      <c r="R66" s="121">
        <f t="shared" si="6"/>
        <v>658.01792802705074</v>
      </c>
      <c r="S66" s="121">
        <f t="shared" si="6"/>
        <v>0.40800000000000008</v>
      </c>
      <c r="T66" s="121">
        <f t="shared" si="6"/>
        <v>34142.676188495534</v>
      </c>
      <c r="U66" s="121">
        <f t="shared" si="6"/>
        <v>0</v>
      </c>
      <c r="V66" s="121">
        <f t="shared" si="6"/>
        <v>353.5321999999997</v>
      </c>
      <c r="W66" s="121">
        <f t="shared" si="6"/>
        <v>0</v>
      </c>
      <c r="X66" s="121">
        <f t="shared" si="6"/>
        <v>152551.54503003714</v>
      </c>
      <c r="Y66" s="121">
        <f t="shared" si="6"/>
        <v>0</v>
      </c>
      <c r="AQ66" s="3"/>
    </row>
    <row r="67" spans="5:43" x14ac:dyDescent="0.25">
      <c r="E67" s="32"/>
      <c r="J67" s="89"/>
      <c r="K67" s="89"/>
      <c r="L67" s="89"/>
      <c r="M67" s="89"/>
      <c r="N67" s="89"/>
      <c r="O67" s="89"/>
      <c r="P67" s="89"/>
      <c r="Q67" s="89"/>
      <c r="R67" s="89"/>
      <c r="S67" s="89"/>
      <c r="T67" s="89"/>
      <c r="U67" s="89"/>
      <c r="V67" s="89"/>
      <c r="W67" s="89"/>
      <c r="X67" s="89"/>
      <c r="Y67" s="89"/>
      <c r="AQ67" s="3"/>
    </row>
    <row r="68" spans="5:43" x14ac:dyDescent="0.25">
      <c r="E68" s="32" t="s">
        <v>157</v>
      </c>
      <c r="I68" t="s">
        <v>154</v>
      </c>
      <c r="J68" s="89"/>
      <c r="K68" s="89"/>
      <c r="L68" s="89"/>
      <c r="M68" s="89"/>
      <c r="N68" s="89"/>
      <c r="O68" s="89"/>
      <c r="P68" s="89"/>
      <c r="Q68" s="89"/>
      <c r="R68" s="89"/>
      <c r="S68" s="89"/>
      <c r="T68" s="89"/>
      <c r="U68" s="89"/>
      <c r="V68" s="89"/>
      <c r="W68" s="89"/>
      <c r="X68" s="89"/>
      <c r="Y68" s="89"/>
      <c r="AA68" t="s">
        <v>309</v>
      </c>
      <c r="AQ68" s="3"/>
    </row>
    <row r="69" spans="5:43" x14ac:dyDescent="0.25">
      <c r="E69" s="32"/>
      <c r="J69" s="89"/>
      <c r="K69" s="89"/>
      <c r="L69" s="89"/>
      <c r="M69" s="89"/>
      <c r="N69" s="89"/>
      <c r="O69" s="89"/>
      <c r="P69" s="89"/>
      <c r="Q69" s="89"/>
      <c r="R69" s="89"/>
      <c r="S69" s="89"/>
      <c r="T69" s="89"/>
      <c r="U69" s="89"/>
      <c r="V69" s="89"/>
      <c r="W69" s="89"/>
      <c r="X69" s="89"/>
      <c r="Y69" s="89"/>
      <c r="AQ69" s="3"/>
    </row>
    <row r="70" spans="5:43" x14ac:dyDescent="0.25">
      <c r="F70" s="28" t="s">
        <v>447</v>
      </c>
      <c r="G70" s="28" t="s">
        <v>207</v>
      </c>
      <c r="J70" s="120">
        <f>'Inputs by customer type'!J22</f>
        <v>1214956.6019730598</v>
      </c>
      <c r="K70" s="120">
        <f>'Inputs by customer type'!K22</f>
        <v>150887.96998237175</v>
      </c>
      <c r="L70" s="120">
        <f>'Inputs by customer type'!L22</f>
        <v>545010.23369156569</v>
      </c>
      <c r="M70" s="120">
        <f>'Inputs by customer type'!M22</f>
        <v>14352.322991058796</v>
      </c>
      <c r="N70" s="120">
        <f>'Inputs by customer type'!N22</f>
        <v>738250.90644067922</v>
      </c>
      <c r="O70" s="120">
        <f>'Inputs by customer type'!O22</f>
        <v>57946.422351348258</v>
      </c>
      <c r="P70" s="120">
        <f>'Inputs by customer type'!P22</f>
        <v>375961.51333753037</v>
      </c>
      <c r="Q70" s="120">
        <f>'Inputs by customer type'!Q22</f>
        <v>30364.217494593478</v>
      </c>
      <c r="R70" s="120">
        <f>'Inputs by customer type'!R22</f>
        <v>3421.5412500488133</v>
      </c>
      <c r="S70" s="120">
        <f>'Inputs by customer type'!S22</f>
        <v>1.9430000000000009</v>
      </c>
      <c r="T70" s="120">
        <f>'Inputs by customer type'!T22</f>
        <v>178906.97316231087</v>
      </c>
      <c r="U70" s="120">
        <f>'Inputs by customer type'!U22</f>
        <v>0</v>
      </c>
      <c r="V70" s="120">
        <f>'Inputs by customer type'!V22</f>
        <v>1533.9735999999987</v>
      </c>
      <c r="W70" s="120">
        <f>'Inputs by customer type'!W22</f>
        <v>0</v>
      </c>
      <c r="X70" s="120">
        <f>'Inputs by customer type'!X22</f>
        <v>747480.09120044974</v>
      </c>
      <c r="Y70" s="120">
        <f>'Inputs by customer type'!Y22</f>
        <v>0</v>
      </c>
      <c r="AQ70" s="3"/>
    </row>
    <row r="71" spans="5:43" x14ac:dyDescent="0.25">
      <c r="F71" s="28" t="s">
        <v>448</v>
      </c>
      <c r="G71" s="28" t="s">
        <v>207</v>
      </c>
      <c r="J71" s="120">
        <f>'Inputs by customer type'!J31</f>
        <v>4374.0340341828778</v>
      </c>
      <c r="K71" s="120">
        <f>'Inputs by customer type'!K31</f>
        <v>0</v>
      </c>
      <c r="L71" s="120">
        <f>'Inputs by customer type'!L31</f>
        <v>81.677936494785726</v>
      </c>
      <c r="M71" s="120">
        <f>'Inputs by customer type'!M31</f>
        <v>0</v>
      </c>
      <c r="N71" s="120">
        <f>'Inputs by customer type'!N31</f>
        <v>646.46439544729776</v>
      </c>
      <c r="O71" s="120">
        <f>'Inputs by customer type'!O31</f>
        <v>0</v>
      </c>
      <c r="P71" s="120">
        <f>'Inputs by customer type'!P31</f>
        <v>0</v>
      </c>
      <c r="Q71" s="120">
        <f>'Inputs by customer type'!Q31</f>
        <v>140.08340266230587</v>
      </c>
      <c r="R71" s="120">
        <f>'Inputs by customer type'!R31</f>
        <v>0</v>
      </c>
      <c r="S71" s="120">
        <f>'Inputs by customer type'!S31</f>
        <v>0</v>
      </c>
      <c r="T71" s="120">
        <f>'Inputs by customer type'!T31</f>
        <v>0</v>
      </c>
      <c r="U71" s="120">
        <f>'Inputs by customer type'!U31</f>
        <v>0</v>
      </c>
      <c r="V71" s="120">
        <f>'Inputs by customer type'!V31</f>
        <v>0</v>
      </c>
      <c r="W71" s="120">
        <f>'Inputs by customer type'!W31</f>
        <v>0</v>
      </c>
      <c r="X71" s="120">
        <f>'Inputs by customer type'!X31</f>
        <v>0</v>
      </c>
      <c r="Y71" s="120">
        <f>'Inputs by customer type'!Y31</f>
        <v>0</v>
      </c>
      <c r="AQ71" s="3"/>
    </row>
    <row r="72" spans="5:43" x14ac:dyDescent="0.25">
      <c r="F72" s="28" t="s">
        <v>449</v>
      </c>
      <c r="G72" s="28" t="s">
        <v>207</v>
      </c>
      <c r="J72" s="120">
        <f>'Inputs by customer type'!J40</f>
        <v>8881.2156268222807</v>
      </c>
      <c r="K72" s="120">
        <f>'Inputs by customer type'!K40</f>
        <v>0</v>
      </c>
      <c r="L72" s="120">
        <f>'Inputs by customer type'!L40</f>
        <v>429.10881144774578</v>
      </c>
      <c r="M72" s="120">
        <f>'Inputs by customer type'!M40</f>
        <v>0</v>
      </c>
      <c r="N72" s="120">
        <f>'Inputs by customer type'!N40</f>
        <v>3743.1895956959197</v>
      </c>
      <c r="O72" s="120">
        <f>'Inputs by customer type'!O40</f>
        <v>148.20767438633607</v>
      </c>
      <c r="P72" s="120">
        <f>'Inputs by customer type'!P40</f>
        <v>32.192922169513778</v>
      </c>
      <c r="Q72" s="120">
        <f>'Inputs by customer type'!Q40</f>
        <v>1.118229252538987</v>
      </c>
      <c r="R72" s="120">
        <f>'Inputs by customer type'!R40</f>
        <v>0</v>
      </c>
      <c r="S72" s="120">
        <f>'Inputs by customer type'!S40</f>
        <v>0</v>
      </c>
      <c r="T72" s="120">
        <f>'Inputs by customer type'!T40</f>
        <v>0</v>
      </c>
      <c r="U72" s="120">
        <f>'Inputs by customer type'!U40</f>
        <v>0</v>
      </c>
      <c r="V72" s="120">
        <f>'Inputs by customer type'!V40</f>
        <v>0</v>
      </c>
      <c r="W72" s="120">
        <f>'Inputs by customer type'!W40</f>
        <v>0</v>
      </c>
      <c r="X72" s="120">
        <f>'Inputs by customer type'!X40</f>
        <v>0</v>
      </c>
      <c r="Y72" s="120">
        <f>'Inputs by customer type'!Y40</f>
        <v>0</v>
      </c>
      <c r="AQ72" s="3"/>
    </row>
    <row r="73" spans="5:43" x14ac:dyDescent="0.25">
      <c r="F73" s="28" t="s">
        <v>450</v>
      </c>
      <c r="G73" s="28" t="s">
        <v>167</v>
      </c>
      <c r="J73" s="111">
        <f t="shared" ref="J73:Y73" si="7">IF(J$39, J$45, J$34)</f>
        <v>0.29479317285654288</v>
      </c>
      <c r="K73" s="111">
        <f t="shared" si="7"/>
        <v>0.29479317285654288</v>
      </c>
      <c r="L73" s="111">
        <f t="shared" si="7"/>
        <v>0.29479317285654288</v>
      </c>
      <c r="M73" s="111">
        <f t="shared" si="7"/>
        <v>0.29479317285654288</v>
      </c>
      <c r="N73" s="111">
        <f t="shared" si="7"/>
        <v>0.29479317285654288</v>
      </c>
      <c r="O73" s="111">
        <f t="shared" si="7"/>
        <v>0</v>
      </c>
      <c r="P73" s="111">
        <f t="shared" si="7"/>
        <v>0</v>
      </c>
      <c r="Q73" s="111">
        <f t="shared" si="7"/>
        <v>0.29479317285654288</v>
      </c>
      <c r="R73" s="111">
        <f t="shared" si="7"/>
        <v>0</v>
      </c>
      <c r="S73" s="111">
        <f t="shared" si="7"/>
        <v>0</v>
      </c>
      <c r="T73" s="111">
        <f t="shared" si="7"/>
        <v>0</v>
      </c>
      <c r="U73" s="111">
        <f t="shared" si="7"/>
        <v>0</v>
      </c>
      <c r="V73" s="111">
        <f t="shared" si="7"/>
        <v>0</v>
      </c>
      <c r="W73" s="111">
        <f t="shared" si="7"/>
        <v>0</v>
      </c>
      <c r="X73" s="111">
        <f t="shared" si="7"/>
        <v>0</v>
      </c>
      <c r="Y73" s="111">
        <f t="shared" si="7"/>
        <v>0</v>
      </c>
      <c r="AQ73" s="3"/>
    </row>
    <row r="74" spans="5:43" x14ac:dyDescent="0.25">
      <c r="F74" s="28" t="s">
        <v>451</v>
      </c>
      <c r="G74" s="28" t="s">
        <v>167</v>
      </c>
      <c r="J74" s="111">
        <f t="shared" ref="J74:Y74" si="8">IF(J$39, J$45, J$35)</f>
        <v>0.54819720177752518</v>
      </c>
      <c r="K74" s="111">
        <f t="shared" si="8"/>
        <v>0.54819720177752518</v>
      </c>
      <c r="L74" s="111">
        <f t="shared" si="8"/>
        <v>0.54819720177752518</v>
      </c>
      <c r="M74" s="111">
        <f t="shared" si="8"/>
        <v>0.54819720177752518</v>
      </c>
      <c r="N74" s="111">
        <f t="shared" si="8"/>
        <v>0.54819720177752518</v>
      </c>
      <c r="O74" s="111">
        <f t="shared" si="8"/>
        <v>0.34468988968544823</v>
      </c>
      <c r="P74" s="111">
        <f t="shared" si="8"/>
        <v>0.28277507764655163</v>
      </c>
      <c r="Q74" s="111">
        <f t="shared" si="8"/>
        <v>0.54819720177752518</v>
      </c>
      <c r="R74" s="111">
        <f t="shared" si="8"/>
        <v>0</v>
      </c>
      <c r="S74" s="111">
        <f t="shared" si="8"/>
        <v>0</v>
      </c>
      <c r="T74" s="111">
        <f t="shared" si="8"/>
        <v>0</v>
      </c>
      <c r="U74" s="111">
        <f t="shared" si="8"/>
        <v>0</v>
      </c>
      <c r="V74" s="111">
        <f t="shared" si="8"/>
        <v>0</v>
      </c>
      <c r="W74" s="111">
        <f t="shared" si="8"/>
        <v>0</v>
      </c>
      <c r="X74" s="111">
        <f t="shared" si="8"/>
        <v>0</v>
      </c>
      <c r="Y74" s="111">
        <f t="shared" si="8"/>
        <v>0</v>
      </c>
      <c r="AQ74" s="3"/>
    </row>
    <row r="75" spans="5:43" x14ac:dyDescent="0.25">
      <c r="F75" s="28" t="s">
        <v>452</v>
      </c>
      <c r="G75" s="28" t="s">
        <v>207</v>
      </c>
      <c r="J75" s="98">
        <f t="shared" ref="J75:Y75" si="9">J71 * (1 - J73)</f>
        <v>3084.598663063603</v>
      </c>
      <c r="K75" s="98">
        <f t="shared" si="9"/>
        <v>0</v>
      </c>
      <c r="L75" s="98">
        <f t="shared" si="9"/>
        <v>57.599838443112624</v>
      </c>
      <c r="M75" s="98">
        <f t="shared" si="9"/>
        <v>0</v>
      </c>
      <c r="N75" s="98">
        <f t="shared" si="9"/>
        <v>455.89110517460199</v>
      </c>
      <c r="O75" s="98">
        <f t="shared" si="9"/>
        <v>0</v>
      </c>
      <c r="P75" s="98">
        <f t="shared" si="9"/>
        <v>0</v>
      </c>
      <c r="Q75" s="98">
        <f t="shared" si="9"/>
        <v>98.787771926944032</v>
      </c>
      <c r="R75" s="98">
        <f t="shared" si="9"/>
        <v>0</v>
      </c>
      <c r="S75" s="98">
        <f t="shared" si="9"/>
        <v>0</v>
      </c>
      <c r="T75" s="98">
        <f t="shared" si="9"/>
        <v>0</v>
      </c>
      <c r="U75" s="98">
        <f t="shared" si="9"/>
        <v>0</v>
      </c>
      <c r="V75" s="98">
        <f t="shared" si="9"/>
        <v>0</v>
      </c>
      <c r="W75" s="98">
        <f t="shared" si="9"/>
        <v>0</v>
      </c>
      <c r="X75" s="98">
        <f t="shared" si="9"/>
        <v>0</v>
      </c>
      <c r="Y75" s="98">
        <f t="shared" si="9"/>
        <v>0</v>
      </c>
      <c r="AQ75" s="3"/>
    </row>
    <row r="76" spans="5:43" x14ac:dyDescent="0.25">
      <c r="F76" s="67" t="s">
        <v>453</v>
      </c>
      <c r="G76" s="67" t="s">
        <v>207</v>
      </c>
      <c r="H76" s="37"/>
      <c r="I76" s="37"/>
      <c r="J76" s="100">
        <f t="shared" ref="J76:Y76" si="10">J72 * (1 - J74)</f>
        <v>4012.558071815477</v>
      </c>
      <c r="K76" s="100">
        <f t="shared" si="10"/>
        <v>0</v>
      </c>
      <c r="L76" s="100">
        <f t="shared" si="10"/>
        <v>193.87256175401188</v>
      </c>
      <c r="M76" s="100">
        <f t="shared" si="10"/>
        <v>0</v>
      </c>
      <c r="N76" s="100">
        <f t="shared" si="10"/>
        <v>1691.1835336126708</v>
      </c>
      <c r="O76" s="100">
        <f t="shared" si="10"/>
        <v>97.121987451573062</v>
      </c>
      <c r="P76" s="100">
        <f t="shared" si="10"/>
        <v>23.089566103360127</v>
      </c>
      <c r="Q76" s="100">
        <f t="shared" si="10"/>
        <v>0.50521910535134074</v>
      </c>
      <c r="R76" s="100">
        <f t="shared" si="10"/>
        <v>0</v>
      </c>
      <c r="S76" s="100">
        <f t="shared" si="10"/>
        <v>0</v>
      </c>
      <c r="T76" s="100">
        <f t="shared" si="10"/>
        <v>0</v>
      </c>
      <c r="U76" s="100">
        <f t="shared" si="10"/>
        <v>0</v>
      </c>
      <c r="V76" s="100">
        <f t="shared" si="10"/>
        <v>0</v>
      </c>
      <c r="W76" s="100">
        <f t="shared" si="10"/>
        <v>0</v>
      </c>
      <c r="X76" s="100">
        <f t="shared" si="10"/>
        <v>0</v>
      </c>
      <c r="Y76" s="100">
        <f t="shared" si="10"/>
        <v>0</v>
      </c>
      <c r="AQ76" s="3"/>
    </row>
    <row r="77" spans="5:43" x14ac:dyDescent="0.25">
      <c r="F77" s="28" t="s">
        <v>454</v>
      </c>
      <c r="G77" s="28" t="s">
        <v>207</v>
      </c>
      <c r="J77" s="121">
        <f t="shared" ref="J77:Y77" si="11">J70 + J75 + J76</f>
        <v>1222053.7587079387</v>
      </c>
      <c r="K77" s="121">
        <f t="shared" si="11"/>
        <v>150887.96998237175</v>
      </c>
      <c r="L77" s="121">
        <f t="shared" si="11"/>
        <v>545261.70609176275</v>
      </c>
      <c r="M77" s="121">
        <f t="shared" si="11"/>
        <v>14352.322991058796</v>
      </c>
      <c r="N77" s="121">
        <f t="shared" si="11"/>
        <v>740397.98107946641</v>
      </c>
      <c r="O77" s="121">
        <f t="shared" si="11"/>
        <v>58043.544338799831</v>
      </c>
      <c r="P77" s="121">
        <f t="shared" si="11"/>
        <v>375984.60290363373</v>
      </c>
      <c r="Q77" s="121">
        <f t="shared" si="11"/>
        <v>30463.510485625775</v>
      </c>
      <c r="R77" s="121">
        <f t="shared" si="11"/>
        <v>3421.5412500488133</v>
      </c>
      <c r="S77" s="121">
        <f t="shared" si="11"/>
        <v>1.9430000000000009</v>
      </c>
      <c r="T77" s="121">
        <f t="shared" si="11"/>
        <v>178906.97316231087</v>
      </c>
      <c r="U77" s="121">
        <f t="shared" si="11"/>
        <v>0</v>
      </c>
      <c r="V77" s="121">
        <f t="shared" si="11"/>
        <v>1533.9735999999987</v>
      </c>
      <c r="W77" s="121">
        <f t="shared" si="11"/>
        <v>0</v>
      </c>
      <c r="X77" s="121">
        <f t="shared" si="11"/>
        <v>747480.09120044974</v>
      </c>
      <c r="Y77" s="121">
        <f t="shared" si="11"/>
        <v>0</v>
      </c>
      <c r="AQ77" s="3"/>
    </row>
    <row r="78" spans="5:43" x14ac:dyDescent="0.25">
      <c r="E78" s="32"/>
      <c r="J78" s="89"/>
      <c r="K78" s="89"/>
      <c r="L78" s="89"/>
      <c r="M78" s="89"/>
      <c r="N78" s="89"/>
      <c r="O78" s="89"/>
      <c r="P78" s="89"/>
      <c r="Q78" s="89"/>
      <c r="R78" s="89"/>
      <c r="S78" s="89"/>
      <c r="T78" s="89"/>
      <c r="U78" s="89"/>
      <c r="V78" s="89"/>
      <c r="W78" s="89"/>
      <c r="X78" s="89"/>
      <c r="Y78" s="89"/>
      <c r="AQ78" s="3"/>
    </row>
    <row r="79" spans="5:43" x14ac:dyDescent="0.25">
      <c r="E79" s="32" t="s">
        <v>158</v>
      </c>
      <c r="I79" t="s">
        <v>154</v>
      </c>
      <c r="J79" s="89"/>
      <c r="K79" s="89"/>
      <c r="L79" s="89"/>
      <c r="M79" s="89"/>
      <c r="N79" s="89"/>
      <c r="O79" s="89"/>
      <c r="P79" s="89"/>
      <c r="Q79" s="89"/>
      <c r="R79" s="89"/>
      <c r="S79" s="89"/>
      <c r="T79" s="89"/>
      <c r="U79" s="89"/>
      <c r="V79" s="89"/>
      <c r="W79" s="89"/>
      <c r="X79" s="89"/>
      <c r="Y79" s="89"/>
      <c r="AA79" t="s">
        <v>309</v>
      </c>
      <c r="AQ79" s="3"/>
    </row>
    <row r="80" spans="5:43" x14ac:dyDescent="0.25">
      <c r="E80" s="32"/>
      <c r="J80" s="89"/>
      <c r="K80" s="89"/>
      <c r="L80" s="89"/>
      <c r="M80" s="89"/>
      <c r="N80" s="89"/>
      <c r="O80" s="89"/>
      <c r="P80" s="89"/>
      <c r="Q80" s="89"/>
      <c r="R80" s="89"/>
      <c r="S80" s="89"/>
      <c r="T80" s="89"/>
      <c r="U80" s="89"/>
      <c r="V80" s="89"/>
      <c r="W80" s="89"/>
      <c r="X80" s="89"/>
      <c r="Y80" s="89"/>
      <c r="AQ80" s="3"/>
    </row>
    <row r="81" spans="5:43" x14ac:dyDescent="0.25">
      <c r="F81" s="28" t="s">
        <v>447</v>
      </c>
      <c r="G81" s="28" t="s">
        <v>207</v>
      </c>
      <c r="J81" s="120">
        <f>'Inputs by customer type'!J23</f>
        <v>1071688.9301754655</v>
      </c>
      <c r="K81" s="120">
        <f>'Inputs by customer type'!K23</f>
        <v>223429.42078208068</v>
      </c>
      <c r="L81" s="120">
        <f>'Inputs by customer type'!L23</f>
        <v>367015.1363333576</v>
      </c>
      <c r="M81" s="120">
        <f>'Inputs by customer type'!M23</f>
        <v>17378.187088510807</v>
      </c>
      <c r="N81" s="120">
        <f>'Inputs by customer type'!N23</f>
        <v>553797.70392978238</v>
      </c>
      <c r="O81" s="120">
        <f>'Inputs by customer type'!O23</f>
        <v>53966.451241134222</v>
      </c>
      <c r="P81" s="120">
        <f>'Inputs by customer type'!P23</f>
        <v>347700.43816265365</v>
      </c>
      <c r="Q81" s="120">
        <f>'Inputs by customer type'!Q23</f>
        <v>58608.219211648095</v>
      </c>
      <c r="R81" s="120">
        <f>'Inputs by customer type'!R23</f>
        <v>1824.0799299361463</v>
      </c>
      <c r="S81" s="120">
        <f>'Inputs by customer type'!S23</f>
        <v>1.1440000000000006</v>
      </c>
      <c r="T81" s="120">
        <f>'Inputs by customer type'!T23</f>
        <v>194968.53407257851</v>
      </c>
      <c r="U81" s="120">
        <f>'Inputs by customer type'!U23</f>
        <v>0</v>
      </c>
      <c r="V81" s="120">
        <f>'Inputs by customer type'!V23</f>
        <v>1544.822899999999</v>
      </c>
      <c r="W81" s="120">
        <f>'Inputs by customer type'!W23</f>
        <v>0</v>
      </c>
      <c r="X81" s="120">
        <f>'Inputs by customer type'!X23</f>
        <v>790777.23541179951</v>
      </c>
      <c r="Y81" s="120">
        <f>'Inputs by customer type'!Y23</f>
        <v>0</v>
      </c>
      <c r="AQ81" s="3"/>
    </row>
    <row r="82" spans="5:43" x14ac:dyDescent="0.25">
      <c r="F82" s="28" t="s">
        <v>448</v>
      </c>
      <c r="G82" s="28" t="s">
        <v>207</v>
      </c>
      <c r="J82" s="120">
        <f>'Inputs by customer type'!J32</f>
        <v>3427.9630515891258</v>
      </c>
      <c r="K82" s="120">
        <f>'Inputs by customer type'!K32</f>
        <v>0</v>
      </c>
      <c r="L82" s="120">
        <f>'Inputs by customer type'!L32</f>
        <v>37.397401637813815</v>
      </c>
      <c r="M82" s="120">
        <f>'Inputs by customer type'!M32</f>
        <v>0</v>
      </c>
      <c r="N82" s="120">
        <f>'Inputs by customer type'!N32</f>
        <v>404.99023875658321</v>
      </c>
      <c r="O82" s="120">
        <f>'Inputs by customer type'!O32</f>
        <v>0</v>
      </c>
      <c r="P82" s="120">
        <f>'Inputs by customer type'!P32</f>
        <v>0</v>
      </c>
      <c r="Q82" s="120">
        <f>'Inputs by customer type'!Q32</f>
        <v>47.240033668949899</v>
      </c>
      <c r="R82" s="120">
        <f>'Inputs by customer type'!R32</f>
        <v>0</v>
      </c>
      <c r="S82" s="120">
        <f>'Inputs by customer type'!S32</f>
        <v>0</v>
      </c>
      <c r="T82" s="120">
        <f>'Inputs by customer type'!T32</f>
        <v>0</v>
      </c>
      <c r="U82" s="120">
        <f>'Inputs by customer type'!U32</f>
        <v>0</v>
      </c>
      <c r="V82" s="120">
        <f>'Inputs by customer type'!V32</f>
        <v>0</v>
      </c>
      <c r="W82" s="120">
        <f>'Inputs by customer type'!W32</f>
        <v>0</v>
      </c>
      <c r="X82" s="120">
        <f>'Inputs by customer type'!X32</f>
        <v>0</v>
      </c>
      <c r="Y82" s="120">
        <f>'Inputs by customer type'!Y32</f>
        <v>0</v>
      </c>
      <c r="AQ82" s="3"/>
    </row>
    <row r="83" spans="5:43" x14ac:dyDescent="0.25">
      <c r="F83" s="28" t="s">
        <v>449</v>
      </c>
      <c r="G83" s="28" t="s">
        <v>207</v>
      </c>
      <c r="J83" s="120">
        <f>'Inputs by customer type'!J41</f>
        <v>6798.3989147120128</v>
      </c>
      <c r="K83" s="120">
        <f>'Inputs by customer type'!K41</f>
        <v>0</v>
      </c>
      <c r="L83" s="120">
        <f>'Inputs by customer type'!L41</f>
        <v>234.93453349318671</v>
      </c>
      <c r="M83" s="120">
        <f>'Inputs by customer type'!M41</f>
        <v>0</v>
      </c>
      <c r="N83" s="120">
        <f>'Inputs by customer type'!N41</f>
        <v>2943.9096405144574</v>
      </c>
      <c r="O83" s="120">
        <f>'Inputs by customer type'!O41</f>
        <v>158.1788854978677</v>
      </c>
      <c r="P83" s="120">
        <f>'Inputs by customer type'!P41</f>
        <v>24.384317121258984</v>
      </c>
      <c r="Q83" s="120">
        <f>'Inputs by customer type'!Q41</f>
        <v>0.54194045686189796</v>
      </c>
      <c r="R83" s="120">
        <f>'Inputs by customer type'!R41</f>
        <v>0</v>
      </c>
      <c r="S83" s="120">
        <f>'Inputs by customer type'!S41</f>
        <v>0</v>
      </c>
      <c r="T83" s="120">
        <f>'Inputs by customer type'!T41</f>
        <v>0</v>
      </c>
      <c r="U83" s="120">
        <f>'Inputs by customer type'!U41</f>
        <v>0</v>
      </c>
      <c r="V83" s="120">
        <f>'Inputs by customer type'!V41</f>
        <v>0</v>
      </c>
      <c r="W83" s="120">
        <f>'Inputs by customer type'!W41</f>
        <v>0</v>
      </c>
      <c r="X83" s="120">
        <f>'Inputs by customer type'!X41</f>
        <v>0</v>
      </c>
      <c r="Y83" s="120">
        <f>'Inputs by customer type'!Y41</f>
        <v>0</v>
      </c>
      <c r="AQ83" s="3"/>
    </row>
    <row r="84" spans="5:43" x14ac:dyDescent="0.25">
      <c r="F84" s="28" t="s">
        <v>450</v>
      </c>
      <c r="G84" s="28" t="s">
        <v>167</v>
      </c>
      <c r="J84" s="111">
        <f t="shared" ref="J84:Y84" si="12">IF(J$39, J$45, J$34)</f>
        <v>0.29479317285654288</v>
      </c>
      <c r="K84" s="111">
        <f t="shared" si="12"/>
        <v>0.29479317285654288</v>
      </c>
      <c r="L84" s="111">
        <f t="shared" si="12"/>
        <v>0.29479317285654288</v>
      </c>
      <c r="M84" s="111">
        <f t="shared" si="12"/>
        <v>0.29479317285654288</v>
      </c>
      <c r="N84" s="111">
        <f t="shared" si="12"/>
        <v>0.29479317285654288</v>
      </c>
      <c r="O84" s="111">
        <f t="shared" si="12"/>
        <v>0</v>
      </c>
      <c r="P84" s="111">
        <f t="shared" si="12"/>
        <v>0</v>
      </c>
      <c r="Q84" s="111">
        <f t="shared" si="12"/>
        <v>0.29479317285654288</v>
      </c>
      <c r="R84" s="111">
        <f t="shared" si="12"/>
        <v>0</v>
      </c>
      <c r="S84" s="111">
        <f t="shared" si="12"/>
        <v>0</v>
      </c>
      <c r="T84" s="111">
        <f t="shared" si="12"/>
        <v>0</v>
      </c>
      <c r="U84" s="111">
        <f t="shared" si="12"/>
        <v>0</v>
      </c>
      <c r="V84" s="111">
        <f t="shared" si="12"/>
        <v>0</v>
      </c>
      <c r="W84" s="111">
        <f t="shared" si="12"/>
        <v>0</v>
      </c>
      <c r="X84" s="111">
        <f t="shared" si="12"/>
        <v>0</v>
      </c>
      <c r="Y84" s="111">
        <f t="shared" si="12"/>
        <v>0</v>
      </c>
      <c r="AQ84" s="3"/>
    </row>
    <row r="85" spans="5:43" x14ac:dyDescent="0.25">
      <c r="F85" s="28" t="s">
        <v>451</v>
      </c>
      <c r="G85" s="28" t="s">
        <v>167</v>
      </c>
      <c r="J85" s="111">
        <f t="shared" ref="J85:Y85" si="13">IF(J$39, J$45, J$35)</f>
        <v>0.54819720177752518</v>
      </c>
      <c r="K85" s="111">
        <f t="shared" si="13"/>
        <v>0.54819720177752518</v>
      </c>
      <c r="L85" s="111">
        <f t="shared" si="13"/>
        <v>0.54819720177752518</v>
      </c>
      <c r="M85" s="111">
        <f t="shared" si="13"/>
        <v>0.54819720177752518</v>
      </c>
      <c r="N85" s="111">
        <f t="shared" si="13"/>
        <v>0.54819720177752518</v>
      </c>
      <c r="O85" s="111">
        <f t="shared" si="13"/>
        <v>0.34468988968544823</v>
      </c>
      <c r="P85" s="111">
        <f t="shared" si="13"/>
        <v>0.28277507764655163</v>
      </c>
      <c r="Q85" s="111">
        <f t="shared" si="13"/>
        <v>0.54819720177752518</v>
      </c>
      <c r="R85" s="111">
        <f t="shared" si="13"/>
        <v>0</v>
      </c>
      <c r="S85" s="111">
        <f t="shared" si="13"/>
        <v>0</v>
      </c>
      <c r="T85" s="111">
        <f t="shared" si="13"/>
        <v>0</v>
      </c>
      <c r="U85" s="111">
        <f t="shared" si="13"/>
        <v>0</v>
      </c>
      <c r="V85" s="111">
        <f t="shared" si="13"/>
        <v>0</v>
      </c>
      <c r="W85" s="111">
        <f t="shared" si="13"/>
        <v>0</v>
      </c>
      <c r="X85" s="111">
        <f t="shared" si="13"/>
        <v>0</v>
      </c>
      <c r="Y85" s="111">
        <f t="shared" si="13"/>
        <v>0</v>
      </c>
      <c r="AQ85" s="3"/>
    </row>
    <row r="86" spans="5:43" x14ac:dyDescent="0.25">
      <c r="F86" s="28" t="s">
        <v>452</v>
      </c>
      <c r="G86" s="28" t="s">
        <v>207</v>
      </c>
      <c r="J86" s="98">
        <f t="shared" ref="J86:Y86" si="14">J82 * (1 - J84)</f>
        <v>2417.4229471761701</v>
      </c>
      <c r="K86" s="98">
        <f t="shared" si="14"/>
        <v>0</v>
      </c>
      <c r="L86" s="98">
        <f t="shared" si="14"/>
        <v>26.372902952412204</v>
      </c>
      <c r="M86" s="98">
        <f t="shared" si="14"/>
        <v>0</v>
      </c>
      <c r="N86" s="98">
        <f t="shared" si="14"/>
        <v>285.60188129760115</v>
      </c>
      <c r="O86" s="98">
        <f t="shared" si="14"/>
        <v>0</v>
      </c>
      <c r="P86" s="98">
        <f t="shared" si="14"/>
        <v>0</v>
      </c>
      <c r="Q86" s="98">
        <f t="shared" si="14"/>
        <v>33.313994257830245</v>
      </c>
      <c r="R86" s="98">
        <f t="shared" si="14"/>
        <v>0</v>
      </c>
      <c r="S86" s="98">
        <f t="shared" si="14"/>
        <v>0</v>
      </c>
      <c r="T86" s="98">
        <f t="shared" si="14"/>
        <v>0</v>
      </c>
      <c r="U86" s="98">
        <f t="shared" si="14"/>
        <v>0</v>
      </c>
      <c r="V86" s="98">
        <f t="shared" si="14"/>
        <v>0</v>
      </c>
      <c r="W86" s="98">
        <f t="shared" si="14"/>
        <v>0</v>
      </c>
      <c r="X86" s="98">
        <f t="shared" si="14"/>
        <v>0</v>
      </c>
      <c r="Y86" s="98">
        <f t="shared" si="14"/>
        <v>0</v>
      </c>
      <c r="AQ86" s="3"/>
    </row>
    <row r="87" spans="5:43" x14ac:dyDescent="0.25">
      <c r="F87" s="67" t="s">
        <v>453</v>
      </c>
      <c r="G87" s="67" t="s">
        <v>207</v>
      </c>
      <c r="H87" s="37"/>
      <c r="I87" s="37"/>
      <c r="J87" s="100">
        <f t="shared" ref="J87:Y87" si="15">J83 * (1 - J85)</f>
        <v>3071.5356530995232</v>
      </c>
      <c r="K87" s="100">
        <f t="shared" si="15"/>
        <v>0</v>
      </c>
      <c r="L87" s="100">
        <f t="shared" si="15"/>
        <v>106.14407963131349</v>
      </c>
      <c r="M87" s="100">
        <f t="shared" si="15"/>
        <v>0</v>
      </c>
      <c r="N87" s="100">
        <f t="shared" si="15"/>
        <v>1330.0666132985518</v>
      </c>
      <c r="O87" s="100">
        <f t="shared" si="15"/>
        <v>103.65622290504054</v>
      </c>
      <c r="P87" s="100">
        <f t="shared" si="15"/>
        <v>17.489039953936835</v>
      </c>
      <c r="Q87" s="100">
        <f t="shared" si="15"/>
        <v>0.24485021488017189</v>
      </c>
      <c r="R87" s="100">
        <f t="shared" si="15"/>
        <v>0</v>
      </c>
      <c r="S87" s="100">
        <f t="shared" si="15"/>
        <v>0</v>
      </c>
      <c r="T87" s="100">
        <f t="shared" si="15"/>
        <v>0</v>
      </c>
      <c r="U87" s="100">
        <f t="shared" si="15"/>
        <v>0</v>
      </c>
      <c r="V87" s="100">
        <f t="shared" si="15"/>
        <v>0</v>
      </c>
      <c r="W87" s="100">
        <f t="shared" si="15"/>
        <v>0</v>
      </c>
      <c r="X87" s="100">
        <f t="shared" si="15"/>
        <v>0</v>
      </c>
      <c r="Y87" s="100">
        <f t="shared" si="15"/>
        <v>0</v>
      </c>
      <c r="AQ87" s="3"/>
    </row>
    <row r="88" spans="5:43" x14ac:dyDescent="0.25">
      <c r="F88" s="28" t="s">
        <v>454</v>
      </c>
      <c r="G88" s="28" t="s">
        <v>207</v>
      </c>
      <c r="J88" s="121">
        <f t="shared" ref="J88:Y88" si="16">J81 + J86 + J87</f>
        <v>1077177.8887757412</v>
      </c>
      <c r="K88" s="121">
        <f t="shared" si="16"/>
        <v>223429.42078208068</v>
      </c>
      <c r="L88" s="121">
        <f t="shared" si="16"/>
        <v>367147.65331594134</v>
      </c>
      <c r="M88" s="121">
        <f t="shared" si="16"/>
        <v>17378.187088510807</v>
      </c>
      <c r="N88" s="121">
        <f t="shared" si="16"/>
        <v>555413.37242437864</v>
      </c>
      <c r="O88" s="121">
        <f t="shared" si="16"/>
        <v>54070.107464039262</v>
      </c>
      <c r="P88" s="121">
        <f t="shared" si="16"/>
        <v>347717.92720260756</v>
      </c>
      <c r="Q88" s="121">
        <f t="shared" si="16"/>
        <v>58641.778056120806</v>
      </c>
      <c r="R88" s="121">
        <f t="shared" si="16"/>
        <v>1824.0799299361463</v>
      </c>
      <c r="S88" s="121">
        <f t="shared" si="16"/>
        <v>1.1440000000000006</v>
      </c>
      <c r="T88" s="121">
        <f t="shared" si="16"/>
        <v>194968.53407257851</v>
      </c>
      <c r="U88" s="121">
        <f t="shared" si="16"/>
        <v>0</v>
      </c>
      <c r="V88" s="121">
        <f t="shared" si="16"/>
        <v>1544.822899999999</v>
      </c>
      <c r="W88" s="121">
        <f t="shared" si="16"/>
        <v>0</v>
      </c>
      <c r="X88" s="121">
        <f t="shared" si="16"/>
        <v>790777.23541179951</v>
      </c>
      <c r="Y88" s="121">
        <f t="shared" si="16"/>
        <v>0</v>
      </c>
      <c r="AQ88" s="3"/>
    </row>
    <row r="89" spans="5:43" x14ac:dyDescent="0.25">
      <c r="E89" s="32"/>
      <c r="J89" s="89"/>
      <c r="K89" s="89"/>
      <c r="L89" s="89"/>
      <c r="M89" s="89"/>
      <c r="N89" s="89"/>
      <c r="O89" s="89"/>
      <c r="P89" s="89"/>
      <c r="Q89" s="89"/>
      <c r="R89" s="89"/>
      <c r="S89" s="89"/>
      <c r="T89" s="89"/>
      <c r="U89" s="89"/>
      <c r="V89" s="89"/>
      <c r="W89" s="89"/>
      <c r="X89" s="89"/>
      <c r="Y89" s="89"/>
      <c r="AQ89" s="3"/>
    </row>
    <row r="90" spans="5:43" x14ac:dyDescent="0.25">
      <c r="E90" s="32" t="s">
        <v>455</v>
      </c>
      <c r="I90" t="s">
        <v>154</v>
      </c>
      <c r="J90" s="89"/>
      <c r="K90" s="89"/>
      <c r="L90" s="89"/>
      <c r="M90" s="89"/>
      <c r="N90" s="89"/>
      <c r="O90" s="89"/>
      <c r="P90" s="89"/>
      <c r="Q90" s="89"/>
      <c r="R90" s="89"/>
      <c r="S90" s="89"/>
      <c r="T90" s="89"/>
      <c r="U90" s="89"/>
      <c r="V90" s="89"/>
      <c r="W90" s="89"/>
      <c r="X90" s="89"/>
      <c r="Y90" s="89"/>
      <c r="AQ90" s="3"/>
    </row>
    <row r="91" spans="5:43" x14ac:dyDescent="0.25">
      <c r="E91" s="32"/>
      <c r="J91" s="89"/>
      <c r="K91" s="89"/>
      <c r="L91" s="89"/>
      <c r="M91" s="89"/>
      <c r="N91" s="89"/>
      <c r="O91" s="89"/>
      <c r="P91" s="89"/>
      <c r="Q91" s="89"/>
      <c r="R91" s="89"/>
      <c r="S91" s="89"/>
      <c r="T91" s="89"/>
      <c r="U91" s="89"/>
      <c r="V91" s="89"/>
      <c r="W91" s="89"/>
      <c r="X91" s="89"/>
      <c r="Y91" s="89"/>
      <c r="AQ91" s="3"/>
    </row>
    <row r="92" spans="5:43" x14ac:dyDescent="0.25">
      <c r="F92" s="28" t="s">
        <v>454</v>
      </c>
      <c r="G92" s="28" t="s">
        <v>207</v>
      </c>
      <c r="J92" s="98">
        <f t="shared" ref="J92:Y92" si="17">J88 + J77 + J66</f>
        <v>2611063.5933068539</v>
      </c>
      <c r="K92" s="98">
        <f t="shared" si="17"/>
        <v>383145.43422277115</v>
      </c>
      <c r="L92" s="98">
        <f t="shared" si="17"/>
        <v>1014788.0881991906</v>
      </c>
      <c r="M92" s="98">
        <f t="shared" si="17"/>
        <v>34804.029265338919</v>
      </c>
      <c r="N92" s="98">
        <f t="shared" si="17"/>
        <v>1435618.334479908</v>
      </c>
      <c r="O92" s="98">
        <f t="shared" si="17"/>
        <v>123320.08945121143</v>
      </c>
      <c r="P92" s="98">
        <f t="shared" si="17"/>
        <v>798396.88573508302</v>
      </c>
      <c r="Q92" s="98">
        <f t="shared" si="17"/>
        <v>93455.150527892154</v>
      </c>
      <c r="R92" s="98">
        <f t="shared" si="17"/>
        <v>5903.6391080120102</v>
      </c>
      <c r="S92" s="98">
        <f t="shared" si="17"/>
        <v>3.4950000000000014</v>
      </c>
      <c r="T92" s="98">
        <f t="shared" si="17"/>
        <v>408018.18342338491</v>
      </c>
      <c r="U92" s="98">
        <f t="shared" si="17"/>
        <v>0</v>
      </c>
      <c r="V92" s="98">
        <f t="shared" si="17"/>
        <v>3432.3286999999973</v>
      </c>
      <c r="W92" s="98">
        <f t="shared" si="17"/>
        <v>0</v>
      </c>
      <c r="X92" s="98">
        <f t="shared" si="17"/>
        <v>1690808.8716422864</v>
      </c>
      <c r="Y92" s="98">
        <f t="shared" si="17"/>
        <v>0</v>
      </c>
      <c r="AQ92" s="3"/>
    </row>
    <row r="93" spans="5:43" x14ac:dyDescent="0.25">
      <c r="E93" s="32"/>
      <c r="J93" s="89"/>
      <c r="K93" s="89"/>
      <c r="L93" s="89"/>
      <c r="M93" s="89"/>
      <c r="N93" s="89"/>
      <c r="O93" s="89"/>
      <c r="P93" s="89"/>
      <c r="Q93" s="89"/>
      <c r="R93" s="89"/>
      <c r="S93" s="89"/>
      <c r="T93" s="89"/>
      <c r="U93" s="89"/>
      <c r="V93" s="89"/>
      <c r="W93" s="89"/>
      <c r="X93" s="89"/>
      <c r="Y93" s="89"/>
      <c r="AQ93" s="3"/>
    </row>
    <row r="94" spans="5:43" x14ac:dyDescent="0.25">
      <c r="E94" s="32" t="s">
        <v>212</v>
      </c>
      <c r="I94" t="s">
        <v>154</v>
      </c>
      <c r="J94" s="89"/>
      <c r="K94" s="89"/>
      <c r="L94" s="89"/>
      <c r="M94" s="89"/>
      <c r="N94" s="89"/>
      <c r="O94" s="89"/>
      <c r="P94" s="89"/>
      <c r="Q94" s="89"/>
      <c r="R94" s="89"/>
      <c r="S94" s="89"/>
      <c r="T94" s="89"/>
      <c r="U94" s="89"/>
      <c r="V94" s="89"/>
      <c r="W94" s="89"/>
      <c r="X94" s="89"/>
      <c r="Y94" s="89"/>
      <c r="AA94" t="s">
        <v>309</v>
      </c>
      <c r="AQ94" s="3"/>
    </row>
    <row r="95" spans="5:43" x14ac:dyDescent="0.25">
      <c r="E95" s="32"/>
      <c r="J95" s="89"/>
      <c r="K95" s="89"/>
      <c r="L95" s="89"/>
      <c r="M95" s="89"/>
      <c r="N95" s="89"/>
      <c r="O95" s="89"/>
      <c r="P95" s="89"/>
      <c r="Q95" s="89"/>
      <c r="R95" s="89"/>
      <c r="S95" s="89"/>
      <c r="T95" s="89"/>
      <c r="U95" s="89"/>
      <c r="V95" s="89"/>
      <c r="W95" s="89"/>
      <c r="X95" s="89"/>
      <c r="Y95" s="89"/>
      <c r="AQ95" s="3"/>
    </row>
    <row r="96" spans="5:43" x14ac:dyDescent="0.25">
      <c r="F96" s="28" t="s">
        <v>447</v>
      </c>
      <c r="G96" s="28" t="s">
        <v>212</v>
      </c>
      <c r="J96" s="120">
        <f>'Inputs by customer type'!J24</f>
        <v>708967.48387096729</v>
      </c>
      <c r="K96" s="120">
        <f>'Inputs by customer type'!K24</f>
        <v>70461.662878625808</v>
      </c>
      <c r="L96" s="120">
        <f>'Inputs by customer type'!L24</f>
        <v>73636.601523262332</v>
      </c>
      <c r="M96" s="120">
        <f>'Inputs by customer type'!M24</f>
        <v>2784.9059115721761</v>
      </c>
      <c r="N96" s="120">
        <f>'Inputs by customer type'!N24</f>
        <v>6682.1760353565578</v>
      </c>
      <c r="O96" s="120">
        <f>'Inputs by customer type'!O24</f>
        <v>111.16114041670782</v>
      </c>
      <c r="P96" s="120">
        <f>'Inputs by customer type'!P24</f>
        <v>692.54803916203412</v>
      </c>
      <c r="Q96" s="120">
        <f>'Inputs by customer type'!Q24</f>
        <v>2081.619285024251</v>
      </c>
      <c r="R96" s="120">
        <f>'Inputs by customer type'!R24</f>
        <v>351.61290322580641</v>
      </c>
      <c r="S96" s="120">
        <f>'Inputs by customer type'!S24</f>
        <v>1</v>
      </c>
      <c r="T96" s="120">
        <f>'Inputs by customer type'!T24</f>
        <v>775.9677419354847</v>
      </c>
      <c r="U96" s="120">
        <f>'Inputs by customer type'!U24</f>
        <v>0</v>
      </c>
      <c r="V96" s="120">
        <f>'Inputs by customer type'!V24</f>
        <v>1.9999999999999989</v>
      </c>
      <c r="W96" s="120">
        <f>'Inputs by customer type'!W24</f>
        <v>0</v>
      </c>
      <c r="X96" s="120">
        <f>'Inputs by customer type'!X24</f>
        <v>355.55640880208517</v>
      </c>
      <c r="Y96" s="120">
        <f>'Inputs by customer type'!Y24</f>
        <v>0</v>
      </c>
      <c r="AQ96" s="3"/>
    </row>
    <row r="97" spans="5:43" x14ac:dyDescent="0.25">
      <c r="F97" s="28" t="s">
        <v>448</v>
      </c>
      <c r="G97" s="28" t="s">
        <v>212</v>
      </c>
      <c r="J97" s="120">
        <f>'Inputs by customer type'!J33</f>
        <v>3276.983870967742</v>
      </c>
      <c r="K97" s="120">
        <f>'Inputs by customer type'!K33</f>
        <v>0</v>
      </c>
      <c r="L97" s="120">
        <f>'Inputs by customer type'!L33</f>
        <v>17</v>
      </c>
      <c r="M97" s="120">
        <f>'Inputs by customer type'!M33</f>
        <v>0</v>
      </c>
      <c r="N97" s="120">
        <f>'Inputs by customer type'!N33</f>
        <v>10</v>
      </c>
      <c r="O97" s="120">
        <f>'Inputs by customer type'!O33</f>
        <v>0</v>
      </c>
      <c r="P97" s="120">
        <f>'Inputs by customer type'!P33</f>
        <v>0</v>
      </c>
      <c r="Q97" s="120">
        <f>'Inputs by customer type'!Q33</f>
        <v>2</v>
      </c>
      <c r="R97" s="120">
        <f>'Inputs by customer type'!R33</f>
        <v>0</v>
      </c>
      <c r="S97" s="120">
        <f>'Inputs by customer type'!S33</f>
        <v>0</v>
      </c>
      <c r="T97" s="120">
        <f>'Inputs by customer type'!T33</f>
        <v>0</v>
      </c>
      <c r="U97" s="120">
        <f>'Inputs by customer type'!U33</f>
        <v>0</v>
      </c>
      <c r="V97" s="120">
        <f>'Inputs by customer type'!V33</f>
        <v>0</v>
      </c>
      <c r="W97" s="120">
        <f>'Inputs by customer type'!W33</f>
        <v>0</v>
      </c>
      <c r="X97" s="120">
        <f>'Inputs by customer type'!X33</f>
        <v>0</v>
      </c>
      <c r="Y97" s="120">
        <f>'Inputs by customer type'!Y33</f>
        <v>0</v>
      </c>
      <c r="AQ97" s="3"/>
    </row>
    <row r="98" spans="5:43" x14ac:dyDescent="0.25">
      <c r="F98" s="28" t="s">
        <v>449</v>
      </c>
      <c r="G98" s="28" t="s">
        <v>212</v>
      </c>
      <c r="J98" s="120">
        <f>'Inputs by customer type'!J42</f>
        <v>6568.8297368601634</v>
      </c>
      <c r="K98" s="120">
        <f>'Inputs by customer type'!K42</f>
        <v>0</v>
      </c>
      <c r="L98" s="120">
        <f>'Inputs by customer type'!L42</f>
        <v>69.01157219334236</v>
      </c>
      <c r="M98" s="120">
        <f>'Inputs by customer type'!M42</f>
        <v>0</v>
      </c>
      <c r="N98" s="120">
        <f>'Inputs by customer type'!N42</f>
        <v>8.5292258765480078</v>
      </c>
      <c r="O98" s="120">
        <f>'Inputs by customer type'!O42</f>
        <v>1</v>
      </c>
      <c r="P98" s="120">
        <f>'Inputs by customer type'!P42</f>
        <v>1</v>
      </c>
      <c r="Q98" s="120">
        <f>'Inputs by customer type'!Q42</f>
        <v>4</v>
      </c>
      <c r="R98" s="120">
        <f>'Inputs by customer type'!R42</f>
        <v>0</v>
      </c>
      <c r="S98" s="120">
        <f>'Inputs by customer type'!S42</f>
        <v>0</v>
      </c>
      <c r="T98" s="120">
        <f>'Inputs by customer type'!T42</f>
        <v>0</v>
      </c>
      <c r="U98" s="120">
        <f>'Inputs by customer type'!U42</f>
        <v>0</v>
      </c>
      <c r="V98" s="120">
        <f>'Inputs by customer type'!V42</f>
        <v>0</v>
      </c>
      <c r="W98" s="120">
        <f>'Inputs by customer type'!W42</f>
        <v>0</v>
      </c>
      <c r="X98" s="120">
        <f>'Inputs by customer type'!X42</f>
        <v>0</v>
      </c>
      <c r="Y98" s="120">
        <f>'Inputs by customer type'!Y42</f>
        <v>0</v>
      </c>
      <c r="AQ98" s="3"/>
    </row>
    <row r="99" spans="5:43" x14ac:dyDescent="0.25">
      <c r="F99" s="28" t="s">
        <v>450</v>
      </c>
      <c r="G99" s="28" t="s">
        <v>167</v>
      </c>
      <c r="J99" s="111">
        <f t="shared" ref="J99:Y99" si="18">IF(J$40, J$46, J$34)</f>
        <v>0.29479317285654288</v>
      </c>
      <c r="K99" s="111">
        <f t="shared" si="18"/>
        <v>0.29479317285654288</v>
      </c>
      <c r="L99" s="111">
        <f t="shared" si="18"/>
        <v>0.29479317285654288</v>
      </c>
      <c r="M99" s="111">
        <f t="shared" si="18"/>
        <v>0.29479317285654288</v>
      </c>
      <c r="N99" s="111">
        <f t="shared" si="18"/>
        <v>0.29479317285654288</v>
      </c>
      <c r="O99" s="111">
        <f t="shared" si="18"/>
        <v>0</v>
      </c>
      <c r="P99" s="111">
        <f t="shared" si="18"/>
        <v>0</v>
      </c>
      <c r="Q99" s="111">
        <f t="shared" si="18"/>
        <v>0.29479317285654288</v>
      </c>
      <c r="R99" s="111">
        <f t="shared" si="18"/>
        <v>1</v>
      </c>
      <c r="S99" s="111">
        <f t="shared" si="18"/>
        <v>1</v>
      </c>
      <c r="T99" s="111">
        <f t="shared" si="18"/>
        <v>1</v>
      </c>
      <c r="U99" s="111">
        <f t="shared" si="18"/>
        <v>1</v>
      </c>
      <c r="V99" s="111">
        <f t="shared" si="18"/>
        <v>1</v>
      </c>
      <c r="W99" s="111">
        <f t="shared" si="18"/>
        <v>1</v>
      </c>
      <c r="X99" s="111">
        <f t="shared" si="18"/>
        <v>1</v>
      </c>
      <c r="Y99" s="111">
        <f t="shared" si="18"/>
        <v>1</v>
      </c>
      <c r="AQ99" s="3"/>
    </row>
    <row r="100" spans="5:43" x14ac:dyDescent="0.25">
      <c r="F100" s="28" t="s">
        <v>451</v>
      </c>
      <c r="G100" s="28" t="s">
        <v>167</v>
      </c>
      <c r="J100" s="111">
        <f t="shared" ref="J100:Y100" si="19">IF(J$40, J$46, J$35)</f>
        <v>0.54819720177752518</v>
      </c>
      <c r="K100" s="111">
        <f t="shared" si="19"/>
        <v>0.54819720177752518</v>
      </c>
      <c r="L100" s="111">
        <f t="shared" si="19"/>
        <v>0.54819720177752518</v>
      </c>
      <c r="M100" s="111">
        <f t="shared" si="19"/>
        <v>0.54819720177752518</v>
      </c>
      <c r="N100" s="111">
        <f t="shared" si="19"/>
        <v>0.54819720177752518</v>
      </c>
      <c r="O100" s="111">
        <f t="shared" si="19"/>
        <v>0.34468988968544823</v>
      </c>
      <c r="P100" s="111">
        <f t="shared" si="19"/>
        <v>0.28277507764655163</v>
      </c>
      <c r="Q100" s="111">
        <f t="shared" si="19"/>
        <v>0.54819720177752518</v>
      </c>
      <c r="R100" s="111">
        <f t="shared" si="19"/>
        <v>1</v>
      </c>
      <c r="S100" s="111">
        <f t="shared" si="19"/>
        <v>1</v>
      </c>
      <c r="T100" s="111">
        <f t="shared" si="19"/>
        <v>1</v>
      </c>
      <c r="U100" s="111">
        <f t="shared" si="19"/>
        <v>1</v>
      </c>
      <c r="V100" s="111">
        <f t="shared" si="19"/>
        <v>1</v>
      </c>
      <c r="W100" s="111">
        <f t="shared" si="19"/>
        <v>1</v>
      </c>
      <c r="X100" s="111">
        <f t="shared" si="19"/>
        <v>1</v>
      </c>
      <c r="Y100" s="111">
        <f t="shared" si="19"/>
        <v>1</v>
      </c>
      <c r="AQ100" s="3"/>
    </row>
    <row r="101" spans="5:43" x14ac:dyDescent="0.25">
      <c r="F101" s="28" t="s">
        <v>452</v>
      </c>
      <c r="G101" s="28" t="s">
        <v>212</v>
      </c>
      <c r="J101" s="98">
        <f t="shared" ref="J101:Y101" si="20">J97 * (1 - J99)</f>
        <v>2310.951398245445</v>
      </c>
      <c r="K101" s="98">
        <f t="shared" si="20"/>
        <v>0</v>
      </c>
      <c r="L101" s="98">
        <f t="shared" si="20"/>
        <v>11.988516061438769</v>
      </c>
      <c r="M101" s="98">
        <f t="shared" si="20"/>
        <v>0</v>
      </c>
      <c r="N101" s="98">
        <f t="shared" si="20"/>
        <v>7.052068271434571</v>
      </c>
      <c r="O101" s="98">
        <f t="shared" si="20"/>
        <v>0</v>
      </c>
      <c r="P101" s="98">
        <f t="shared" si="20"/>
        <v>0</v>
      </c>
      <c r="Q101" s="98">
        <f t="shared" si="20"/>
        <v>1.4104136542869141</v>
      </c>
      <c r="R101" s="98">
        <f t="shared" si="20"/>
        <v>0</v>
      </c>
      <c r="S101" s="98">
        <f t="shared" si="20"/>
        <v>0</v>
      </c>
      <c r="T101" s="98">
        <f t="shared" si="20"/>
        <v>0</v>
      </c>
      <c r="U101" s="98">
        <f t="shared" si="20"/>
        <v>0</v>
      </c>
      <c r="V101" s="98">
        <f t="shared" si="20"/>
        <v>0</v>
      </c>
      <c r="W101" s="98">
        <f t="shared" si="20"/>
        <v>0</v>
      </c>
      <c r="X101" s="98">
        <f t="shared" si="20"/>
        <v>0</v>
      </c>
      <c r="Y101" s="98">
        <f t="shared" si="20"/>
        <v>0</v>
      </c>
      <c r="AQ101" s="3"/>
    </row>
    <row r="102" spans="5:43" x14ac:dyDescent="0.25">
      <c r="F102" s="67" t="s">
        <v>453</v>
      </c>
      <c r="G102" s="67" t="s">
        <v>212</v>
      </c>
      <c r="H102" s="37"/>
      <c r="I102" s="37"/>
      <c r="J102" s="100">
        <f t="shared" ref="J102:Y102" si="21">J98 * (1 - J100)</f>
        <v>2967.8156561604246</v>
      </c>
      <c r="K102" s="100">
        <f t="shared" si="21"/>
        <v>0</v>
      </c>
      <c r="L102" s="100">
        <f t="shared" si="21"/>
        <v>31.179621426684413</v>
      </c>
      <c r="M102" s="100">
        <f t="shared" si="21"/>
        <v>0</v>
      </c>
      <c r="N102" s="100">
        <f t="shared" si="21"/>
        <v>3.8535281176959306</v>
      </c>
      <c r="O102" s="100">
        <f t="shared" si="21"/>
        <v>0.65531011031455177</v>
      </c>
      <c r="P102" s="100">
        <f t="shared" si="21"/>
        <v>0.71722492235344837</v>
      </c>
      <c r="Q102" s="100">
        <f t="shared" si="21"/>
        <v>1.8072111928898993</v>
      </c>
      <c r="R102" s="100">
        <f t="shared" si="21"/>
        <v>0</v>
      </c>
      <c r="S102" s="100">
        <f t="shared" si="21"/>
        <v>0</v>
      </c>
      <c r="T102" s="100">
        <f t="shared" si="21"/>
        <v>0</v>
      </c>
      <c r="U102" s="100">
        <f t="shared" si="21"/>
        <v>0</v>
      </c>
      <c r="V102" s="100">
        <f t="shared" si="21"/>
        <v>0</v>
      </c>
      <c r="W102" s="100">
        <f t="shared" si="21"/>
        <v>0</v>
      </c>
      <c r="X102" s="100">
        <f t="shared" si="21"/>
        <v>0</v>
      </c>
      <c r="Y102" s="100">
        <f t="shared" si="21"/>
        <v>0</v>
      </c>
      <c r="AQ102" s="3"/>
    </row>
    <row r="103" spans="5:43" x14ac:dyDescent="0.25">
      <c r="F103" s="28" t="s">
        <v>454</v>
      </c>
      <c r="G103" s="28" t="s">
        <v>212</v>
      </c>
      <c r="J103" s="121">
        <f t="shared" ref="J103:Y103" si="22">J96 + J101 + J102</f>
        <v>714246.25092537317</v>
      </c>
      <c r="K103" s="121">
        <f t="shared" si="22"/>
        <v>70461.662878625808</v>
      </c>
      <c r="L103" s="121">
        <f t="shared" si="22"/>
        <v>73679.769660750448</v>
      </c>
      <c r="M103" s="121">
        <f t="shared" si="22"/>
        <v>2784.9059115721761</v>
      </c>
      <c r="N103" s="121">
        <f t="shared" si="22"/>
        <v>6693.0816317456884</v>
      </c>
      <c r="O103" s="121">
        <f t="shared" si="22"/>
        <v>111.81645052702237</v>
      </c>
      <c r="P103" s="121">
        <f t="shared" si="22"/>
        <v>693.26526408438758</v>
      </c>
      <c r="Q103" s="121">
        <f t="shared" si="22"/>
        <v>2084.8369098714279</v>
      </c>
      <c r="R103" s="121">
        <f t="shared" si="22"/>
        <v>351.61290322580641</v>
      </c>
      <c r="S103" s="121">
        <f t="shared" si="22"/>
        <v>1</v>
      </c>
      <c r="T103" s="121">
        <f t="shared" si="22"/>
        <v>775.9677419354847</v>
      </c>
      <c r="U103" s="121">
        <f t="shared" si="22"/>
        <v>0</v>
      </c>
      <c r="V103" s="121">
        <f t="shared" si="22"/>
        <v>1.9999999999999989</v>
      </c>
      <c r="W103" s="121">
        <f t="shared" si="22"/>
        <v>0</v>
      </c>
      <c r="X103" s="121">
        <f t="shared" si="22"/>
        <v>355.55640880208517</v>
      </c>
      <c r="Y103" s="121">
        <f t="shared" si="22"/>
        <v>0</v>
      </c>
      <c r="AQ103" s="3"/>
    </row>
    <row r="104" spans="5:43" x14ac:dyDescent="0.25">
      <c r="E104" s="32"/>
      <c r="J104" s="89"/>
      <c r="K104" s="89"/>
      <c r="L104" s="89"/>
      <c r="M104" s="89"/>
      <c r="N104" s="89"/>
      <c r="O104" s="89"/>
      <c r="P104" s="89"/>
      <c r="Q104" s="89"/>
      <c r="R104" s="89"/>
      <c r="S104" s="89"/>
      <c r="T104" s="89"/>
      <c r="U104" s="89"/>
      <c r="V104" s="89"/>
      <c r="W104" s="89"/>
      <c r="X104" s="89"/>
      <c r="Y104" s="89"/>
      <c r="AQ104" s="3"/>
    </row>
    <row r="105" spans="5:43" x14ac:dyDescent="0.25">
      <c r="E105" s="32" t="s">
        <v>250</v>
      </c>
      <c r="I105" t="s">
        <v>154</v>
      </c>
      <c r="J105" s="89"/>
      <c r="K105" s="89"/>
      <c r="L105" s="89"/>
      <c r="M105" s="89"/>
      <c r="N105" s="89"/>
      <c r="O105" s="89"/>
      <c r="P105" s="89"/>
      <c r="Q105" s="89"/>
      <c r="R105" s="89"/>
      <c r="S105" s="89"/>
      <c r="T105" s="89"/>
      <c r="U105" s="89"/>
      <c r="V105" s="89"/>
      <c r="W105" s="89"/>
      <c r="X105" s="89"/>
      <c r="Y105" s="89"/>
      <c r="AA105" t="s">
        <v>309</v>
      </c>
      <c r="AQ105" s="3"/>
    </row>
    <row r="106" spans="5:43" x14ac:dyDescent="0.25">
      <c r="E106" s="32"/>
      <c r="J106" s="89"/>
      <c r="K106" s="89"/>
      <c r="L106" s="89"/>
      <c r="M106" s="89"/>
      <c r="N106" s="89"/>
      <c r="O106" s="89"/>
      <c r="P106" s="89"/>
      <c r="Q106" s="89"/>
      <c r="R106" s="89"/>
      <c r="S106" s="89"/>
      <c r="T106" s="89"/>
      <c r="U106" s="89"/>
      <c r="V106" s="89"/>
      <c r="W106" s="89"/>
      <c r="X106" s="89"/>
      <c r="Y106" s="89"/>
      <c r="AQ106" s="3"/>
    </row>
    <row r="107" spans="5:43" x14ac:dyDescent="0.25">
      <c r="F107" s="28" t="s">
        <v>447</v>
      </c>
      <c r="G107" s="28" t="s">
        <v>251</v>
      </c>
      <c r="J107" s="120">
        <f>'Inputs by customer type'!J25</f>
        <v>0</v>
      </c>
      <c r="K107" s="120">
        <f>'Inputs by customer type'!K25</f>
        <v>0</v>
      </c>
      <c r="L107" s="120">
        <f>'Inputs by customer type'!L25</f>
        <v>0</v>
      </c>
      <c r="M107" s="120">
        <f>'Inputs by customer type'!M25</f>
        <v>0</v>
      </c>
      <c r="N107" s="120">
        <f>'Inputs by customer type'!N25</f>
        <v>869075.23235095805</v>
      </c>
      <c r="O107" s="120">
        <f>'Inputs by customer type'!O25</f>
        <v>33657.26799093507</v>
      </c>
      <c r="P107" s="120">
        <f>'Inputs by customer type'!P25</f>
        <v>396885.86689826992</v>
      </c>
      <c r="Q107" s="120">
        <f>'Inputs by customer type'!Q25</f>
        <v>0</v>
      </c>
      <c r="R107" s="120">
        <f>'Inputs by customer type'!R25</f>
        <v>0</v>
      </c>
      <c r="S107" s="120">
        <f>'Inputs by customer type'!S25</f>
        <v>0</v>
      </c>
      <c r="T107" s="120">
        <f>'Inputs by customer type'!T25</f>
        <v>0</v>
      </c>
      <c r="U107" s="120">
        <f>'Inputs by customer type'!U25</f>
        <v>0</v>
      </c>
      <c r="V107" s="120">
        <f>'Inputs by customer type'!V25</f>
        <v>0</v>
      </c>
      <c r="W107" s="120">
        <f>'Inputs by customer type'!W25</f>
        <v>0</v>
      </c>
      <c r="X107" s="120">
        <f>'Inputs by customer type'!X25</f>
        <v>0</v>
      </c>
      <c r="Y107" s="120">
        <f>'Inputs by customer type'!Y25</f>
        <v>0</v>
      </c>
      <c r="AQ107" s="3"/>
    </row>
    <row r="108" spans="5:43" x14ac:dyDescent="0.25">
      <c r="F108" s="28" t="s">
        <v>448</v>
      </c>
      <c r="G108" s="28" t="s">
        <v>251</v>
      </c>
      <c r="J108" s="120">
        <f>'Inputs by customer type'!J34</f>
        <v>0</v>
      </c>
      <c r="K108" s="120">
        <f>'Inputs by customer type'!K34</f>
        <v>0</v>
      </c>
      <c r="L108" s="120">
        <f>'Inputs by customer type'!L34</f>
        <v>0</v>
      </c>
      <c r="M108" s="120">
        <f>'Inputs by customer type'!M34</f>
        <v>0</v>
      </c>
      <c r="N108" s="120">
        <f>'Inputs by customer type'!N34</f>
        <v>2282</v>
      </c>
      <c r="O108" s="120">
        <f>'Inputs by customer type'!O34</f>
        <v>0</v>
      </c>
      <c r="P108" s="120">
        <f>'Inputs by customer type'!P34</f>
        <v>0</v>
      </c>
      <c r="Q108" s="120">
        <f>'Inputs by customer type'!Q34</f>
        <v>0</v>
      </c>
      <c r="R108" s="120">
        <f>'Inputs by customer type'!R34</f>
        <v>0</v>
      </c>
      <c r="S108" s="120">
        <f>'Inputs by customer type'!S34</f>
        <v>0</v>
      </c>
      <c r="T108" s="120">
        <f>'Inputs by customer type'!T34</f>
        <v>0</v>
      </c>
      <c r="U108" s="120">
        <f>'Inputs by customer type'!U34</f>
        <v>0</v>
      </c>
      <c r="V108" s="120">
        <f>'Inputs by customer type'!V34</f>
        <v>0</v>
      </c>
      <c r="W108" s="120">
        <f>'Inputs by customer type'!W34</f>
        <v>0</v>
      </c>
      <c r="X108" s="120">
        <f>'Inputs by customer type'!X34</f>
        <v>0</v>
      </c>
      <c r="Y108" s="120">
        <f>'Inputs by customer type'!Y34</f>
        <v>0</v>
      </c>
      <c r="AQ108" s="3"/>
    </row>
    <row r="109" spans="5:43" x14ac:dyDescent="0.25">
      <c r="F109" s="28" t="s">
        <v>449</v>
      </c>
      <c r="G109" s="28" t="s">
        <v>251</v>
      </c>
      <c r="J109" s="120">
        <f>'Inputs by customer type'!J43</f>
        <v>0</v>
      </c>
      <c r="K109" s="120">
        <f>'Inputs by customer type'!K43</f>
        <v>0</v>
      </c>
      <c r="L109" s="120">
        <f>'Inputs by customer type'!L43</f>
        <v>0</v>
      </c>
      <c r="M109" s="120">
        <f>'Inputs by customer type'!M43</f>
        <v>0</v>
      </c>
      <c r="N109" s="120">
        <f>'Inputs by customer type'!N43</f>
        <v>3751.2370753763826</v>
      </c>
      <c r="O109" s="120">
        <f>'Inputs by customer type'!O43</f>
        <v>559.00000000000011</v>
      </c>
      <c r="P109" s="120">
        <f>'Inputs by customer type'!P43</f>
        <v>17750</v>
      </c>
      <c r="Q109" s="120">
        <f>'Inputs by customer type'!Q43</f>
        <v>0</v>
      </c>
      <c r="R109" s="120">
        <f>'Inputs by customer type'!R43</f>
        <v>0</v>
      </c>
      <c r="S109" s="120">
        <f>'Inputs by customer type'!S43</f>
        <v>0</v>
      </c>
      <c r="T109" s="120">
        <f>'Inputs by customer type'!T43</f>
        <v>0</v>
      </c>
      <c r="U109" s="120">
        <f>'Inputs by customer type'!U43</f>
        <v>0</v>
      </c>
      <c r="V109" s="120">
        <f>'Inputs by customer type'!V43</f>
        <v>0</v>
      </c>
      <c r="W109" s="120">
        <f>'Inputs by customer type'!W43</f>
        <v>0</v>
      </c>
      <c r="X109" s="120">
        <f>'Inputs by customer type'!X43</f>
        <v>0</v>
      </c>
      <c r="Y109" s="120">
        <f>'Inputs by customer type'!Y43</f>
        <v>0</v>
      </c>
      <c r="AQ109" s="3"/>
    </row>
    <row r="110" spans="5:43" x14ac:dyDescent="0.25">
      <c r="F110" s="28" t="s">
        <v>450</v>
      </c>
      <c r="G110" s="28" t="s">
        <v>167</v>
      </c>
      <c r="J110" s="111">
        <f t="shared" ref="J110:Y110" si="23">IF(J$41, J$47, J$34)</f>
        <v>0.29479317285654288</v>
      </c>
      <c r="K110" s="111">
        <f t="shared" si="23"/>
        <v>0.29479317285654288</v>
      </c>
      <c r="L110" s="111">
        <f t="shared" si="23"/>
        <v>0.29479317285654288</v>
      </c>
      <c r="M110" s="111">
        <f t="shared" si="23"/>
        <v>0.29479317285654288</v>
      </c>
      <c r="N110" s="111">
        <f t="shared" si="23"/>
        <v>0.29479317285654288</v>
      </c>
      <c r="O110" s="111">
        <f t="shared" si="23"/>
        <v>0</v>
      </c>
      <c r="P110" s="111">
        <f t="shared" si="23"/>
        <v>0</v>
      </c>
      <c r="Q110" s="111">
        <f t="shared" si="23"/>
        <v>0.29479317285654288</v>
      </c>
      <c r="R110" s="111">
        <f t="shared" si="23"/>
        <v>0</v>
      </c>
      <c r="S110" s="111">
        <f t="shared" si="23"/>
        <v>0</v>
      </c>
      <c r="T110" s="111">
        <f t="shared" si="23"/>
        <v>0</v>
      </c>
      <c r="U110" s="111">
        <f t="shared" si="23"/>
        <v>0</v>
      </c>
      <c r="V110" s="111">
        <f t="shared" si="23"/>
        <v>0</v>
      </c>
      <c r="W110" s="111">
        <f t="shared" si="23"/>
        <v>0</v>
      </c>
      <c r="X110" s="111">
        <f t="shared" si="23"/>
        <v>0</v>
      </c>
      <c r="Y110" s="111">
        <f t="shared" si="23"/>
        <v>0</v>
      </c>
      <c r="AQ110" s="3"/>
    </row>
    <row r="111" spans="5:43" x14ac:dyDescent="0.25">
      <c r="F111" s="28" t="s">
        <v>451</v>
      </c>
      <c r="G111" s="28" t="s">
        <v>167</v>
      </c>
      <c r="J111" s="111">
        <f t="shared" ref="J111:Y111" si="24">IF(J$41, J$47, J$35)</f>
        <v>0.54819720177752518</v>
      </c>
      <c r="K111" s="111">
        <f t="shared" si="24"/>
        <v>0.54819720177752518</v>
      </c>
      <c r="L111" s="111">
        <f t="shared" si="24"/>
        <v>0.54819720177752518</v>
      </c>
      <c r="M111" s="111">
        <f t="shared" si="24"/>
        <v>0.54819720177752518</v>
      </c>
      <c r="N111" s="111">
        <f t="shared" si="24"/>
        <v>0.54819720177752518</v>
      </c>
      <c r="O111" s="111">
        <f t="shared" si="24"/>
        <v>0.34468988968544823</v>
      </c>
      <c r="P111" s="111">
        <f t="shared" si="24"/>
        <v>0.28277507764655163</v>
      </c>
      <c r="Q111" s="111">
        <f t="shared" si="24"/>
        <v>0.54819720177752518</v>
      </c>
      <c r="R111" s="111">
        <f t="shared" si="24"/>
        <v>0</v>
      </c>
      <c r="S111" s="111">
        <f t="shared" si="24"/>
        <v>0</v>
      </c>
      <c r="T111" s="111">
        <f t="shared" si="24"/>
        <v>0</v>
      </c>
      <c r="U111" s="111">
        <f t="shared" si="24"/>
        <v>0</v>
      </c>
      <c r="V111" s="111">
        <f t="shared" si="24"/>
        <v>0</v>
      </c>
      <c r="W111" s="111">
        <f t="shared" si="24"/>
        <v>0</v>
      </c>
      <c r="X111" s="111">
        <f t="shared" si="24"/>
        <v>0</v>
      </c>
      <c r="Y111" s="111">
        <f t="shared" si="24"/>
        <v>0</v>
      </c>
      <c r="AQ111" s="3"/>
    </row>
    <row r="112" spans="5:43" x14ac:dyDescent="0.25">
      <c r="F112" s="28" t="s">
        <v>452</v>
      </c>
      <c r="G112" s="28" t="s">
        <v>251</v>
      </c>
      <c r="J112" s="98">
        <f t="shared" ref="J112:Y112" si="25">J108 * (1 - J110)</f>
        <v>0</v>
      </c>
      <c r="K112" s="98">
        <f t="shared" si="25"/>
        <v>0</v>
      </c>
      <c r="L112" s="98">
        <f t="shared" si="25"/>
        <v>0</v>
      </c>
      <c r="M112" s="98">
        <f t="shared" si="25"/>
        <v>0</v>
      </c>
      <c r="N112" s="98">
        <f t="shared" si="25"/>
        <v>1609.2819795413691</v>
      </c>
      <c r="O112" s="98">
        <f t="shared" si="25"/>
        <v>0</v>
      </c>
      <c r="P112" s="98">
        <f t="shared" si="25"/>
        <v>0</v>
      </c>
      <c r="Q112" s="98">
        <f t="shared" si="25"/>
        <v>0</v>
      </c>
      <c r="R112" s="98">
        <f t="shared" si="25"/>
        <v>0</v>
      </c>
      <c r="S112" s="98">
        <f t="shared" si="25"/>
        <v>0</v>
      </c>
      <c r="T112" s="98">
        <f t="shared" si="25"/>
        <v>0</v>
      </c>
      <c r="U112" s="98">
        <f t="shared" si="25"/>
        <v>0</v>
      </c>
      <c r="V112" s="98">
        <f t="shared" si="25"/>
        <v>0</v>
      </c>
      <c r="W112" s="98">
        <f t="shared" si="25"/>
        <v>0</v>
      </c>
      <c r="X112" s="98">
        <f t="shared" si="25"/>
        <v>0</v>
      </c>
      <c r="Y112" s="98">
        <f t="shared" si="25"/>
        <v>0</v>
      </c>
      <c r="AQ112" s="3"/>
    </row>
    <row r="113" spans="5:43" x14ac:dyDescent="0.25">
      <c r="F113" s="67" t="s">
        <v>453</v>
      </c>
      <c r="G113" s="67" t="s">
        <v>251</v>
      </c>
      <c r="H113" s="37"/>
      <c r="I113" s="37"/>
      <c r="J113" s="100">
        <f t="shared" ref="J113:Y113" si="26">J109 * (1 - J111)</f>
        <v>0</v>
      </c>
      <c r="K113" s="100">
        <f t="shared" si="26"/>
        <v>0</v>
      </c>
      <c r="L113" s="100">
        <f t="shared" si="26"/>
        <v>0</v>
      </c>
      <c r="M113" s="100">
        <f t="shared" si="26"/>
        <v>0</v>
      </c>
      <c r="N113" s="100">
        <f t="shared" si="26"/>
        <v>1694.8194074509424</v>
      </c>
      <c r="O113" s="100">
        <f t="shared" si="26"/>
        <v>366.31835166583454</v>
      </c>
      <c r="P113" s="100">
        <f t="shared" si="26"/>
        <v>12730.742371773709</v>
      </c>
      <c r="Q113" s="100">
        <f t="shared" si="26"/>
        <v>0</v>
      </c>
      <c r="R113" s="100">
        <f t="shared" si="26"/>
        <v>0</v>
      </c>
      <c r="S113" s="100">
        <f t="shared" si="26"/>
        <v>0</v>
      </c>
      <c r="T113" s="100">
        <f t="shared" si="26"/>
        <v>0</v>
      </c>
      <c r="U113" s="100">
        <f t="shared" si="26"/>
        <v>0</v>
      </c>
      <c r="V113" s="100">
        <f t="shared" si="26"/>
        <v>0</v>
      </c>
      <c r="W113" s="100">
        <f t="shared" si="26"/>
        <v>0</v>
      </c>
      <c r="X113" s="100">
        <f t="shared" si="26"/>
        <v>0</v>
      </c>
      <c r="Y113" s="100">
        <f t="shared" si="26"/>
        <v>0</v>
      </c>
      <c r="AQ113" s="3"/>
    </row>
    <row r="114" spans="5:43" x14ac:dyDescent="0.25">
      <c r="F114" s="28" t="s">
        <v>454</v>
      </c>
      <c r="G114" s="28" t="s">
        <v>251</v>
      </c>
      <c r="J114" s="121">
        <f t="shared" ref="J114:Y114" si="27">J107 + J112 + J113</f>
        <v>0</v>
      </c>
      <c r="K114" s="121">
        <f t="shared" si="27"/>
        <v>0</v>
      </c>
      <c r="L114" s="121">
        <f t="shared" si="27"/>
        <v>0</v>
      </c>
      <c r="M114" s="121">
        <f t="shared" si="27"/>
        <v>0</v>
      </c>
      <c r="N114" s="121">
        <f t="shared" si="27"/>
        <v>872379.33373795042</v>
      </c>
      <c r="O114" s="121">
        <f t="shared" si="27"/>
        <v>34023.586342600902</v>
      </c>
      <c r="P114" s="121">
        <f t="shared" si="27"/>
        <v>409616.60927004361</v>
      </c>
      <c r="Q114" s="121">
        <f t="shared" si="27"/>
        <v>0</v>
      </c>
      <c r="R114" s="121">
        <f t="shared" si="27"/>
        <v>0</v>
      </c>
      <c r="S114" s="121">
        <f t="shared" si="27"/>
        <v>0</v>
      </c>
      <c r="T114" s="121">
        <f t="shared" si="27"/>
        <v>0</v>
      </c>
      <c r="U114" s="121">
        <f t="shared" si="27"/>
        <v>0</v>
      </c>
      <c r="V114" s="121">
        <f t="shared" si="27"/>
        <v>0</v>
      </c>
      <c r="W114" s="121">
        <f t="shared" si="27"/>
        <v>0</v>
      </c>
      <c r="X114" s="121">
        <f t="shared" si="27"/>
        <v>0</v>
      </c>
      <c r="Y114" s="121">
        <f t="shared" si="27"/>
        <v>0</v>
      </c>
      <c r="AQ114" s="3"/>
    </row>
    <row r="115" spans="5:43" x14ac:dyDescent="0.25">
      <c r="E115" s="32"/>
      <c r="J115" s="89"/>
      <c r="K115" s="89"/>
      <c r="L115" s="89"/>
      <c r="M115" s="89"/>
      <c r="N115" s="89"/>
      <c r="O115" s="89"/>
      <c r="P115" s="89"/>
      <c r="Q115" s="89"/>
      <c r="R115" s="89"/>
      <c r="S115" s="89"/>
      <c r="T115" s="89"/>
      <c r="U115" s="89"/>
      <c r="V115" s="89"/>
      <c r="W115" s="89"/>
      <c r="X115" s="89"/>
      <c r="Y115" s="89"/>
      <c r="AQ115" s="3"/>
    </row>
    <row r="116" spans="5:43" x14ac:dyDescent="0.25">
      <c r="E116" s="32" t="s">
        <v>252</v>
      </c>
      <c r="I116" t="s">
        <v>154</v>
      </c>
      <c r="J116" s="89"/>
      <c r="K116" s="89"/>
      <c r="L116" s="89"/>
      <c r="M116" s="89"/>
      <c r="N116" s="89"/>
      <c r="O116" s="89"/>
      <c r="P116" s="89"/>
      <c r="Q116" s="89"/>
      <c r="R116" s="89"/>
      <c r="S116" s="89"/>
      <c r="T116" s="89"/>
      <c r="U116" s="89"/>
      <c r="V116" s="89"/>
      <c r="W116" s="89"/>
      <c r="X116" s="89"/>
      <c r="Y116" s="89"/>
      <c r="AA116" t="s">
        <v>309</v>
      </c>
      <c r="AQ116" s="3"/>
    </row>
    <row r="117" spans="5:43" x14ac:dyDescent="0.25">
      <c r="E117" s="32"/>
      <c r="J117" s="89"/>
      <c r="K117" s="89"/>
      <c r="L117" s="89"/>
      <c r="M117" s="89"/>
      <c r="N117" s="89"/>
      <c r="O117" s="89"/>
      <c r="P117" s="89"/>
      <c r="Q117" s="89"/>
      <c r="R117" s="89"/>
      <c r="S117" s="89"/>
      <c r="T117" s="89"/>
      <c r="U117" s="89"/>
      <c r="V117" s="89"/>
      <c r="W117" s="89"/>
      <c r="X117" s="89"/>
      <c r="Y117" s="89"/>
      <c r="AQ117" s="3"/>
    </row>
    <row r="118" spans="5:43" x14ac:dyDescent="0.25">
      <c r="F118" s="28" t="s">
        <v>447</v>
      </c>
      <c r="G118" s="28" t="s">
        <v>251</v>
      </c>
      <c r="J118" s="120">
        <f>'Inputs by customer type'!J26</f>
        <v>0</v>
      </c>
      <c r="K118" s="120">
        <f>'Inputs by customer type'!K26</f>
        <v>0</v>
      </c>
      <c r="L118" s="120">
        <f>'Inputs by customer type'!L26</f>
        <v>0</v>
      </c>
      <c r="M118" s="120">
        <f>'Inputs by customer type'!M26</f>
        <v>0</v>
      </c>
      <c r="N118" s="120">
        <f>'Inputs by customer type'!N26</f>
        <v>20017.923579185579</v>
      </c>
      <c r="O118" s="120">
        <f>'Inputs by customer type'!O26</f>
        <v>1172.4448121461803</v>
      </c>
      <c r="P118" s="120">
        <f>'Inputs by customer type'!P26</f>
        <v>8108.4019897747849</v>
      </c>
      <c r="Q118" s="120">
        <f>'Inputs by customer type'!Q26</f>
        <v>0</v>
      </c>
      <c r="R118" s="120">
        <f>'Inputs by customer type'!R26</f>
        <v>0</v>
      </c>
      <c r="S118" s="120">
        <f>'Inputs by customer type'!S26</f>
        <v>0</v>
      </c>
      <c r="T118" s="120">
        <f>'Inputs by customer type'!T26</f>
        <v>0</v>
      </c>
      <c r="U118" s="120">
        <f>'Inputs by customer type'!U26</f>
        <v>0</v>
      </c>
      <c r="V118" s="120">
        <f>'Inputs by customer type'!V26</f>
        <v>0</v>
      </c>
      <c r="W118" s="120">
        <f>'Inputs by customer type'!W26</f>
        <v>0</v>
      </c>
      <c r="X118" s="120">
        <f>'Inputs by customer type'!X26</f>
        <v>0</v>
      </c>
      <c r="Y118" s="120">
        <f>'Inputs by customer type'!Y26</f>
        <v>0</v>
      </c>
      <c r="AQ118" s="3"/>
    </row>
    <row r="119" spans="5:43" x14ac:dyDescent="0.25">
      <c r="F119" s="28" t="s">
        <v>448</v>
      </c>
      <c r="G119" s="28" t="s">
        <v>251</v>
      </c>
      <c r="J119" s="120">
        <f>'Inputs by customer type'!J35</f>
        <v>0</v>
      </c>
      <c r="K119" s="120">
        <f>'Inputs by customer type'!K35</f>
        <v>0</v>
      </c>
      <c r="L119" s="120">
        <f>'Inputs by customer type'!L35</f>
        <v>0</v>
      </c>
      <c r="M119" s="120">
        <f>'Inputs by customer type'!M35</f>
        <v>0</v>
      </c>
      <c r="N119" s="120">
        <f>'Inputs by customer type'!N35</f>
        <v>0</v>
      </c>
      <c r="O119" s="120">
        <f>'Inputs by customer type'!O35</f>
        <v>0</v>
      </c>
      <c r="P119" s="120">
        <f>'Inputs by customer type'!P35</f>
        <v>0</v>
      </c>
      <c r="Q119" s="120">
        <f>'Inputs by customer type'!Q35</f>
        <v>0</v>
      </c>
      <c r="R119" s="120">
        <f>'Inputs by customer type'!R35</f>
        <v>0</v>
      </c>
      <c r="S119" s="120">
        <f>'Inputs by customer type'!S35</f>
        <v>0</v>
      </c>
      <c r="T119" s="120">
        <f>'Inputs by customer type'!T35</f>
        <v>0</v>
      </c>
      <c r="U119" s="120">
        <f>'Inputs by customer type'!U35</f>
        <v>0</v>
      </c>
      <c r="V119" s="120">
        <f>'Inputs by customer type'!V35</f>
        <v>0</v>
      </c>
      <c r="W119" s="120">
        <f>'Inputs by customer type'!W35</f>
        <v>0</v>
      </c>
      <c r="X119" s="120">
        <f>'Inputs by customer type'!X35</f>
        <v>0</v>
      </c>
      <c r="Y119" s="120">
        <f>'Inputs by customer type'!Y35</f>
        <v>0</v>
      </c>
      <c r="AQ119" s="3"/>
    </row>
    <row r="120" spans="5:43" x14ac:dyDescent="0.25">
      <c r="F120" s="28" t="s">
        <v>449</v>
      </c>
      <c r="G120" s="28" t="s">
        <v>251</v>
      </c>
      <c r="J120" s="120">
        <f>'Inputs by customer type'!J44</f>
        <v>0</v>
      </c>
      <c r="K120" s="120">
        <f>'Inputs by customer type'!K44</f>
        <v>0</v>
      </c>
      <c r="L120" s="120">
        <f>'Inputs by customer type'!L44</f>
        <v>0</v>
      </c>
      <c r="M120" s="120">
        <f>'Inputs by customer type'!M44</f>
        <v>0</v>
      </c>
      <c r="N120" s="120">
        <f>'Inputs by customer type'!N44</f>
        <v>1123.7764999496744</v>
      </c>
      <c r="O120" s="120">
        <f>'Inputs by customer type'!O44</f>
        <v>0</v>
      </c>
      <c r="P120" s="120">
        <f>'Inputs by customer type'!P44</f>
        <v>0</v>
      </c>
      <c r="Q120" s="120">
        <f>'Inputs by customer type'!Q44</f>
        <v>0</v>
      </c>
      <c r="R120" s="120">
        <f>'Inputs by customer type'!R44</f>
        <v>0</v>
      </c>
      <c r="S120" s="120">
        <f>'Inputs by customer type'!S44</f>
        <v>0</v>
      </c>
      <c r="T120" s="120">
        <f>'Inputs by customer type'!T44</f>
        <v>0</v>
      </c>
      <c r="U120" s="120">
        <f>'Inputs by customer type'!U44</f>
        <v>0</v>
      </c>
      <c r="V120" s="120">
        <f>'Inputs by customer type'!V44</f>
        <v>0</v>
      </c>
      <c r="W120" s="120">
        <f>'Inputs by customer type'!W44</f>
        <v>0</v>
      </c>
      <c r="X120" s="120">
        <f>'Inputs by customer type'!X44</f>
        <v>0</v>
      </c>
      <c r="Y120" s="120">
        <f>'Inputs by customer type'!Y44</f>
        <v>0</v>
      </c>
      <c r="AQ120" s="3"/>
    </row>
    <row r="121" spans="5:43" x14ac:dyDescent="0.25">
      <c r="F121" s="28" t="s">
        <v>450</v>
      </c>
      <c r="G121" s="28" t="s">
        <v>167</v>
      </c>
      <c r="J121" s="111">
        <f t="shared" ref="J121:Y121" si="28">IF(J$42, J$48, J$34)</f>
        <v>0.29479317285654288</v>
      </c>
      <c r="K121" s="111">
        <f t="shared" si="28"/>
        <v>0.29479317285654288</v>
      </c>
      <c r="L121" s="111">
        <f t="shared" si="28"/>
        <v>0.29479317285654288</v>
      </c>
      <c r="M121" s="111">
        <f t="shared" si="28"/>
        <v>0.29479317285654288</v>
      </c>
      <c r="N121" s="111">
        <f t="shared" si="28"/>
        <v>0.29479317285654288</v>
      </c>
      <c r="O121" s="111">
        <f t="shared" si="28"/>
        <v>0</v>
      </c>
      <c r="P121" s="111">
        <f t="shared" si="28"/>
        <v>0</v>
      </c>
      <c r="Q121" s="111">
        <f t="shared" si="28"/>
        <v>0.29479317285654288</v>
      </c>
      <c r="R121" s="111">
        <f t="shared" si="28"/>
        <v>0</v>
      </c>
      <c r="S121" s="111">
        <f t="shared" si="28"/>
        <v>0</v>
      </c>
      <c r="T121" s="111">
        <f t="shared" si="28"/>
        <v>0</v>
      </c>
      <c r="U121" s="111">
        <f t="shared" si="28"/>
        <v>0</v>
      </c>
      <c r="V121" s="111">
        <f t="shared" si="28"/>
        <v>0</v>
      </c>
      <c r="W121" s="111">
        <f t="shared" si="28"/>
        <v>0</v>
      </c>
      <c r="X121" s="111">
        <f t="shared" si="28"/>
        <v>0</v>
      </c>
      <c r="Y121" s="111">
        <f t="shared" si="28"/>
        <v>0</v>
      </c>
      <c r="AQ121" s="3"/>
    </row>
    <row r="122" spans="5:43" x14ac:dyDescent="0.25">
      <c r="F122" s="28" t="s">
        <v>451</v>
      </c>
      <c r="G122" s="28" t="s">
        <v>167</v>
      </c>
      <c r="J122" s="111">
        <f t="shared" ref="J122:Y122" si="29">IF(J$42, J$48, J$35)</f>
        <v>0.54819720177752518</v>
      </c>
      <c r="K122" s="111">
        <f t="shared" si="29"/>
        <v>0.54819720177752518</v>
      </c>
      <c r="L122" s="111">
        <f t="shared" si="29"/>
        <v>0.54819720177752518</v>
      </c>
      <c r="M122" s="111">
        <f t="shared" si="29"/>
        <v>0.54819720177752518</v>
      </c>
      <c r="N122" s="111">
        <f t="shared" si="29"/>
        <v>0.54819720177752518</v>
      </c>
      <c r="O122" s="111">
        <f t="shared" si="29"/>
        <v>0.34468988968544823</v>
      </c>
      <c r="P122" s="111">
        <f t="shared" si="29"/>
        <v>0.28277507764655163</v>
      </c>
      <c r="Q122" s="111">
        <f t="shared" si="29"/>
        <v>0.54819720177752518</v>
      </c>
      <c r="R122" s="111">
        <f t="shared" si="29"/>
        <v>0</v>
      </c>
      <c r="S122" s="111">
        <f t="shared" si="29"/>
        <v>0</v>
      </c>
      <c r="T122" s="111">
        <f t="shared" si="29"/>
        <v>0</v>
      </c>
      <c r="U122" s="111">
        <f t="shared" si="29"/>
        <v>0</v>
      </c>
      <c r="V122" s="111">
        <f t="shared" si="29"/>
        <v>0</v>
      </c>
      <c r="W122" s="111">
        <f t="shared" si="29"/>
        <v>0</v>
      </c>
      <c r="X122" s="111">
        <f t="shared" si="29"/>
        <v>0</v>
      </c>
      <c r="Y122" s="111">
        <f t="shared" si="29"/>
        <v>0</v>
      </c>
      <c r="AQ122" s="3"/>
    </row>
    <row r="123" spans="5:43" x14ac:dyDescent="0.25">
      <c r="F123" s="28" t="s">
        <v>452</v>
      </c>
      <c r="G123" s="28" t="s">
        <v>251</v>
      </c>
      <c r="J123" s="98">
        <f t="shared" ref="J123:Y123" si="30">J119 * (1 - J121)</f>
        <v>0</v>
      </c>
      <c r="K123" s="98">
        <f t="shared" si="30"/>
        <v>0</v>
      </c>
      <c r="L123" s="98">
        <f t="shared" si="30"/>
        <v>0</v>
      </c>
      <c r="M123" s="98">
        <f t="shared" si="30"/>
        <v>0</v>
      </c>
      <c r="N123" s="98">
        <f t="shared" si="30"/>
        <v>0</v>
      </c>
      <c r="O123" s="98">
        <f t="shared" si="30"/>
        <v>0</v>
      </c>
      <c r="P123" s="98">
        <f t="shared" si="30"/>
        <v>0</v>
      </c>
      <c r="Q123" s="98">
        <f t="shared" si="30"/>
        <v>0</v>
      </c>
      <c r="R123" s="98">
        <f t="shared" si="30"/>
        <v>0</v>
      </c>
      <c r="S123" s="98">
        <f t="shared" si="30"/>
        <v>0</v>
      </c>
      <c r="T123" s="98">
        <f t="shared" si="30"/>
        <v>0</v>
      </c>
      <c r="U123" s="98">
        <f t="shared" si="30"/>
        <v>0</v>
      </c>
      <c r="V123" s="98">
        <f t="shared" si="30"/>
        <v>0</v>
      </c>
      <c r="W123" s="98">
        <f t="shared" si="30"/>
        <v>0</v>
      </c>
      <c r="X123" s="98">
        <f t="shared" si="30"/>
        <v>0</v>
      </c>
      <c r="Y123" s="98">
        <f t="shared" si="30"/>
        <v>0</v>
      </c>
      <c r="AQ123" s="3"/>
    </row>
    <row r="124" spans="5:43" x14ac:dyDescent="0.25">
      <c r="F124" s="67" t="s">
        <v>453</v>
      </c>
      <c r="G124" s="67" t="s">
        <v>251</v>
      </c>
      <c r="H124" s="37"/>
      <c r="I124" s="37"/>
      <c r="J124" s="100">
        <f t="shared" ref="J124:Y124" si="31">J120 * (1 - J122)</f>
        <v>0</v>
      </c>
      <c r="K124" s="100">
        <f t="shared" si="31"/>
        <v>0</v>
      </c>
      <c r="L124" s="100">
        <f t="shared" si="31"/>
        <v>0</v>
      </c>
      <c r="M124" s="100">
        <f t="shared" si="31"/>
        <v>0</v>
      </c>
      <c r="N124" s="100">
        <f t="shared" si="31"/>
        <v>507.72536725392172</v>
      </c>
      <c r="O124" s="100">
        <f t="shared" si="31"/>
        <v>0</v>
      </c>
      <c r="P124" s="100">
        <f t="shared" si="31"/>
        <v>0</v>
      </c>
      <c r="Q124" s="100">
        <f t="shared" si="31"/>
        <v>0</v>
      </c>
      <c r="R124" s="100">
        <f t="shared" si="31"/>
        <v>0</v>
      </c>
      <c r="S124" s="100">
        <f t="shared" si="31"/>
        <v>0</v>
      </c>
      <c r="T124" s="100">
        <f t="shared" si="31"/>
        <v>0</v>
      </c>
      <c r="U124" s="100">
        <f t="shared" si="31"/>
        <v>0</v>
      </c>
      <c r="V124" s="100">
        <f t="shared" si="31"/>
        <v>0</v>
      </c>
      <c r="W124" s="100">
        <f t="shared" si="31"/>
        <v>0</v>
      </c>
      <c r="X124" s="100">
        <f t="shared" si="31"/>
        <v>0</v>
      </c>
      <c r="Y124" s="100">
        <f t="shared" si="31"/>
        <v>0</v>
      </c>
      <c r="AQ124" s="3"/>
    </row>
    <row r="125" spans="5:43" x14ac:dyDescent="0.25">
      <c r="F125" s="28" t="s">
        <v>454</v>
      </c>
      <c r="G125" s="28" t="s">
        <v>251</v>
      </c>
      <c r="J125" s="121">
        <f t="shared" ref="J125:Y125" si="32">J118 + J123 + J124</f>
        <v>0</v>
      </c>
      <c r="K125" s="121">
        <f t="shared" si="32"/>
        <v>0</v>
      </c>
      <c r="L125" s="121">
        <f t="shared" si="32"/>
        <v>0</v>
      </c>
      <c r="M125" s="121">
        <f t="shared" si="32"/>
        <v>0</v>
      </c>
      <c r="N125" s="121">
        <f t="shared" si="32"/>
        <v>20525.648946439502</v>
      </c>
      <c r="O125" s="121">
        <f t="shared" si="32"/>
        <v>1172.4448121461803</v>
      </c>
      <c r="P125" s="121">
        <f t="shared" si="32"/>
        <v>8108.4019897747849</v>
      </c>
      <c r="Q125" s="121">
        <f t="shared" si="32"/>
        <v>0</v>
      </c>
      <c r="R125" s="121">
        <f t="shared" si="32"/>
        <v>0</v>
      </c>
      <c r="S125" s="121">
        <f t="shared" si="32"/>
        <v>0</v>
      </c>
      <c r="T125" s="121">
        <f t="shared" si="32"/>
        <v>0</v>
      </c>
      <c r="U125" s="121">
        <f t="shared" si="32"/>
        <v>0</v>
      </c>
      <c r="V125" s="121">
        <f t="shared" si="32"/>
        <v>0</v>
      </c>
      <c r="W125" s="121">
        <f t="shared" si="32"/>
        <v>0</v>
      </c>
      <c r="X125" s="121">
        <f t="shared" si="32"/>
        <v>0</v>
      </c>
      <c r="Y125" s="121">
        <f t="shared" si="32"/>
        <v>0</v>
      </c>
      <c r="AQ125" s="3"/>
    </row>
    <row r="126" spans="5:43" x14ac:dyDescent="0.25">
      <c r="E126" s="32"/>
      <c r="J126" s="89"/>
      <c r="K126" s="89"/>
      <c r="L126" s="89"/>
      <c r="M126" s="89"/>
      <c r="N126" s="89"/>
      <c r="O126" s="89"/>
      <c r="P126" s="89"/>
      <c r="Q126" s="89"/>
      <c r="R126" s="89"/>
      <c r="S126" s="89"/>
      <c r="T126" s="89"/>
      <c r="U126" s="89"/>
      <c r="V126" s="89"/>
      <c r="W126" s="89"/>
      <c r="X126" s="89"/>
      <c r="Y126" s="89"/>
      <c r="AQ126" s="3"/>
    </row>
    <row r="127" spans="5:43" x14ac:dyDescent="0.25">
      <c r="E127" s="32" t="s">
        <v>253</v>
      </c>
      <c r="I127" t="s">
        <v>154</v>
      </c>
      <c r="J127" s="89"/>
      <c r="K127" s="89"/>
      <c r="L127" s="89"/>
      <c r="M127" s="89"/>
      <c r="N127" s="89"/>
      <c r="O127" s="89"/>
      <c r="P127" s="89"/>
      <c r="Q127" s="89"/>
      <c r="R127" s="89"/>
      <c r="S127" s="89"/>
      <c r="T127" s="89"/>
      <c r="U127" s="89"/>
      <c r="V127" s="89"/>
      <c r="W127" s="89"/>
      <c r="X127" s="89"/>
      <c r="Y127" s="89"/>
      <c r="AA127" t="s">
        <v>309</v>
      </c>
      <c r="AQ127" s="3"/>
    </row>
    <row r="128" spans="5:43" x14ac:dyDescent="0.25">
      <c r="E128" s="32"/>
      <c r="J128" s="89"/>
      <c r="K128" s="89"/>
      <c r="L128" s="89"/>
      <c r="M128" s="89"/>
      <c r="N128" s="89"/>
      <c r="O128" s="89"/>
      <c r="P128" s="89"/>
      <c r="Q128" s="89"/>
      <c r="R128" s="89"/>
      <c r="S128" s="89"/>
      <c r="T128" s="89"/>
      <c r="U128" s="89"/>
      <c r="V128" s="89"/>
      <c r="W128" s="89"/>
      <c r="X128" s="89"/>
      <c r="Y128" s="89"/>
      <c r="AQ128" s="3"/>
    </row>
    <row r="129" spans="2:43" x14ac:dyDescent="0.25">
      <c r="F129" s="28" t="s">
        <v>447</v>
      </c>
      <c r="G129" s="28" t="s">
        <v>254</v>
      </c>
      <c r="J129" s="120">
        <f>'Inputs by customer type'!J27</f>
        <v>0</v>
      </c>
      <c r="K129" s="120">
        <f>'Inputs by customer type'!K27</f>
        <v>0</v>
      </c>
      <c r="L129" s="120">
        <f>'Inputs by customer type'!L27</f>
        <v>0</v>
      </c>
      <c r="M129" s="120">
        <f>'Inputs by customer type'!M27</f>
        <v>0</v>
      </c>
      <c r="N129" s="120">
        <f>'Inputs by customer type'!N27</f>
        <v>190596.87416383639</v>
      </c>
      <c r="O129" s="120">
        <f>'Inputs by customer type'!O27</f>
        <v>9906.6253977300548</v>
      </c>
      <c r="P129" s="120">
        <f>'Inputs by customer type'!P27</f>
        <v>127476.83918254296</v>
      </c>
      <c r="Q129" s="120">
        <f>'Inputs by customer type'!Q27</f>
        <v>0</v>
      </c>
      <c r="R129" s="120">
        <f>'Inputs by customer type'!R27</f>
        <v>0</v>
      </c>
      <c r="S129" s="120">
        <f>'Inputs by customer type'!S27</f>
        <v>0</v>
      </c>
      <c r="T129" s="120">
        <f>'Inputs by customer type'!T27</f>
        <v>25700.51612427906</v>
      </c>
      <c r="U129" s="120">
        <f>'Inputs by customer type'!U27</f>
        <v>0</v>
      </c>
      <c r="V129" s="120">
        <f>'Inputs by customer type'!V27</f>
        <v>0</v>
      </c>
      <c r="W129" s="120">
        <f>'Inputs by customer type'!W27</f>
        <v>0</v>
      </c>
      <c r="X129" s="120">
        <f>'Inputs by customer type'!X27</f>
        <v>41127.35854688855</v>
      </c>
      <c r="Y129" s="120">
        <f>'Inputs by customer type'!Y27</f>
        <v>0</v>
      </c>
      <c r="AQ129" s="3"/>
    </row>
    <row r="130" spans="2:43" x14ac:dyDescent="0.25">
      <c r="F130" s="28" t="s">
        <v>448</v>
      </c>
      <c r="G130" s="28" t="s">
        <v>254</v>
      </c>
      <c r="J130" s="120">
        <f>'Inputs by customer type'!J36</f>
        <v>0</v>
      </c>
      <c r="K130" s="120">
        <f>'Inputs by customer type'!K36</f>
        <v>0</v>
      </c>
      <c r="L130" s="120">
        <f>'Inputs by customer type'!L36</f>
        <v>0</v>
      </c>
      <c r="M130" s="120">
        <f>'Inputs by customer type'!M36</f>
        <v>0</v>
      </c>
      <c r="N130" s="120">
        <f>'Inputs by customer type'!N36</f>
        <v>65.53048804346291</v>
      </c>
      <c r="O130" s="120">
        <f>'Inputs by customer type'!O36</f>
        <v>0</v>
      </c>
      <c r="P130" s="120">
        <f>'Inputs by customer type'!P36</f>
        <v>0</v>
      </c>
      <c r="Q130" s="120">
        <f>'Inputs by customer type'!Q36</f>
        <v>0</v>
      </c>
      <c r="R130" s="120">
        <f>'Inputs by customer type'!R36</f>
        <v>0</v>
      </c>
      <c r="S130" s="120">
        <f>'Inputs by customer type'!S36</f>
        <v>0</v>
      </c>
      <c r="T130" s="120">
        <f>'Inputs by customer type'!T36</f>
        <v>0</v>
      </c>
      <c r="U130" s="120">
        <f>'Inputs by customer type'!U36</f>
        <v>0</v>
      </c>
      <c r="V130" s="120">
        <f>'Inputs by customer type'!V36</f>
        <v>0</v>
      </c>
      <c r="W130" s="120">
        <f>'Inputs by customer type'!W36</f>
        <v>0</v>
      </c>
      <c r="X130" s="120">
        <f>'Inputs by customer type'!X36</f>
        <v>0</v>
      </c>
      <c r="Y130" s="120">
        <f>'Inputs by customer type'!Y36</f>
        <v>0</v>
      </c>
      <c r="AQ130" s="3"/>
    </row>
    <row r="131" spans="2:43" x14ac:dyDescent="0.25">
      <c r="F131" s="28" t="s">
        <v>449</v>
      </c>
      <c r="G131" s="28" t="s">
        <v>254</v>
      </c>
      <c r="J131" s="120">
        <f>'Inputs by customer type'!J45</f>
        <v>0</v>
      </c>
      <c r="K131" s="120">
        <f>'Inputs by customer type'!K45</f>
        <v>0</v>
      </c>
      <c r="L131" s="120">
        <f>'Inputs by customer type'!L45</f>
        <v>0</v>
      </c>
      <c r="M131" s="120">
        <f>'Inputs by customer type'!M45</f>
        <v>0</v>
      </c>
      <c r="N131" s="120">
        <f>'Inputs by customer type'!N45</f>
        <v>798.94366109416035</v>
      </c>
      <c r="O131" s="120">
        <f>'Inputs by customer type'!O45</f>
        <v>0</v>
      </c>
      <c r="P131" s="120">
        <f>'Inputs by customer type'!P45</f>
        <v>0</v>
      </c>
      <c r="Q131" s="120">
        <f>'Inputs by customer type'!Q45</f>
        <v>0</v>
      </c>
      <c r="R131" s="120">
        <f>'Inputs by customer type'!R45</f>
        <v>0</v>
      </c>
      <c r="S131" s="120">
        <f>'Inputs by customer type'!S45</f>
        <v>0</v>
      </c>
      <c r="T131" s="120">
        <f>'Inputs by customer type'!T45</f>
        <v>0</v>
      </c>
      <c r="U131" s="120">
        <f>'Inputs by customer type'!U45</f>
        <v>0</v>
      </c>
      <c r="V131" s="120">
        <f>'Inputs by customer type'!V45</f>
        <v>0</v>
      </c>
      <c r="W131" s="120">
        <f>'Inputs by customer type'!W45</f>
        <v>0</v>
      </c>
      <c r="X131" s="120">
        <f>'Inputs by customer type'!X45</f>
        <v>0</v>
      </c>
      <c r="Y131" s="120">
        <f>'Inputs by customer type'!Y45</f>
        <v>0</v>
      </c>
      <c r="AQ131" s="3"/>
    </row>
    <row r="132" spans="2:43" x14ac:dyDescent="0.25">
      <c r="F132" s="28" t="s">
        <v>450</v>
      </c>
      <c r="G132" s="28" t="s">
        <v>167</v>
      </c>
      <c r="J132" s="111">
        <f t="shared" ref="J132:Y132" si="33">IF(J$43, J$49, J$34)</f>
        <v>0.29479317285654288</v>
      </c>
      <c r="K132" s="111">
        <f t="shared" si="33"/>
        <v>0.29479317285654288</v>
      </c>
      <c r="L132" s="111">
        <f t="shared" si="33"/>
        <v>0.29479317285654288</v>
      </c>
      <c r="M132" s="111">
        <f t="shared" si="33"/>
        <v>0.29479317285654288</v>
      </c>
      <c r="N132" s="111">
        <f t="shared" si="33"/>
        <v>0.29479317285654288</v>
      </c>
      <c r="O132" s="111">
        <f t="shared" si="33"/>
        <v>0</v>
      </c>
      <c r="P132" s="111">
        <f t="shared" si="33"/>
        <v>0</v>
      </c>
      <c r="Q132" s="111">
        <f t="shared" si="33"/>
        <v>0.29479317285654288</v>
      </c>
      <c r="R132" s="111">
        <f t="shared" si="33"/>
        <v>0</v>
      </c>
      <c r="S132" s="111">
        <f t="shared" si="33"/>
        <v>0</v>
      </c>
      <c r="T132" s="111">
        <f t="shared" si="33"/>
        <v>0</v>
      </c>
      <c r="U132" s="111">
        <f t="shared" si="33"/>
        <v>0</v>
      </c>
      <c r="V132" s="111">
        <f t="shared" si="33"/>
        <v>0</v>
      </c>
      <c r="W132" s="111">
        <f t="shared" si="33"/>
        <v>0</v>
      </c>
      <c r="X132" s="111">
        <f t="shared" si="33"/>
        <v>0</v>
      </c>
      <c r="Y132" s="111">
        <f t="shared" si="33"/>
        <v>0</v>
      </c>
      <c r="AQ132" s="3"/>
    </row>
    <row r="133" spans="2:43" x14ac:dyDescent="0.25">
      <c r="F133" s="28" t="s">
        <v>451</v>
      </c>
      <c r="G133" s="28" t="s">
        <v>167</v>
      </c>
      <c r="J133" s="111">
        <f t="shared" ref="J133:Y133" si="34">IF(J$43, J$49, J$35)</f>
        <v>0.54819720177752518</v>
      </c>
      <c r="K133" s="111">
        <f t="shared" si="34"/>
        <v>0.54819720177752518</v>
      </c>
      <c r="L133" s="111">
        <f t="shared" si="34"/>
        <v>0.54819720177752518</v>
      </c>
      <c r="M133" s="111">
        <f t="shared" si="34"/>
        <v>0.54819720177752518</v>
      </c>
      <c r="N133" s="111">
        <f t="shared" si="34"/>
        <v>0.54819720177752518</v>
      </c>
      <c r="O133" s="111">
        <f t="shared" si="34"/>
        <v>0.34468988968544823</v>
      </c>
      <c r="P133" s="111">
        <f t="shared" si="34"/>
        <v>0.28277507764655163</v>
      </c>
      <c r="Q133" s="111">
        <f t="shared" si="34"/>
        <v>0.54819720177752518</v>
      </c>
      <c r="R133" s="111">
        <f t="shared" si="34"/>
        <v>0</v>
      </c>
      <c r="S133" s="111">
        <f t="shared" si="34"/>
        <v>0</v>
      </c>
      <c r="T133" s="111">
        <f t="shared" si="34"/>
        <v>0</v>
      </c>
      <c r="U133" s="111">
        <f t="shared" si="34"/>
        <v>0</v>
      </c>
      <c r="V133" s="111">
        <f t="shared" si="34"/>
        <v>0</v>
      </c>
      <c r="W133" s="111">
        <f t="shared" si="34"/>
        <v>0</v>
      </c>
      <c r="X133" s="111">
        <f t="shared" si="34"/>
        <v>0</v>
      </c>
      <c r="Y133" s="111">
        <f t="shared" si="34"/>
        <v>0</v>
      </c>
      <c r="AQ133" s="3"/>
    </row>
    <row r="134" spans="2:43" x14ac:dyDescent="0.25">
      <c r="F134" s="28" t="s">
        <v>452</v>
      </c>
      <c r="G134" s="28" t="s">
        <v>254</v>
      </c>
      <c r="J134" s="98">
        <f t="shared" ref="J134:Y134" si="35">J130 * (1 - J132)</f>
        <v>0</v>
      </c>
      <c r="K134" s="98">
        <f t="shared" si="35"/>
        <v>0</v>
      </c>
      <c r="L134" s="98">
        <f t="shared" si="35"/>
        <v>0</v>
      </c>
      <c r="M134" s="98">
        <f t="shared" si="35"/>
        <v>0</v>
      </c>
      <c r="N134" s="98">
        <f t="shared" si="35"/>
        <v>46.212547554292726</v>
      </c>
      <c r="O134" s="98">
        <f t="shared" si="35"/>
        <v>0</v>
      </c>
      <c r="P134" s="98">
        <f t="shared" si="35"/>
        <v>0</v>
      </c>
      <c r="Q134" s="98">
        <f t="shared" si="35"/>
        <v>0</v>
      </c>
      <c r="R134" s="98">
        <f t="shared" si="35"/>
        <v>0</v>
      </c>
      <c r="S134" s="98">
        <f t="shared" si="35"/>
        <v>0</v>
      </c>
      <c r="T134" s="98">
        <f t="shared" si="35"/>
        <v>0</v>
      </c>
      <c r="U134" s="98">
        <f t="shared" si="35"/>
        <v>0</v>
      </c>
      <c r="V134" s="98">
        <f t="shared" si="35"/>
        <v>0</v>
      </c>
      <c r="W134" s="98">
        <f t="shared" si="35"/>
        <v>0</v>
      </c>
      <c r="X134" s="98">
        <f t="shared" si="35"/>
        <v>0</v>
      </c>
      <c r="Y134" s="98">
        <f t="shared" si="35"/>
        <v>0</v>
      </c>
      <c r="AQ134" s="3"/>
    </row>
    <row r="135" spans="2:43" x14ac:dyDescent="0.25">
      <c r="F135" s="67" t="s">
        <v>453</v>
      </c>
      <c r="G135" s="67" t="s">
        <v>254</v>
      </c>
      <c r="H135" s="37"/>
      <c r="I135" s="37"/>
      <c r="J135" s="100">
        <f t="shared" ref="J135:Y135" si="36">J131 * (1 - J133)</f>
        <v>0</v>
      </c>
      <c r="K135" s="100">
        <f t="shared" si="36"/>
        <v>0</v>
      </c>
      <c r="L135" s="100">
        <f t="shared" si="36"/>
        <v>0</v>
      </c>
      <c r="M135" s="100">
        <f t="shared" si="36"/>
        <v>0</v>
      </c>
      <c r="N135" s="100">
        <f t="shared" si="36"/>
        <v>360.96498170445022</v>
      </c>
      <c r="O135" s="100">
        <f t="shared" si="36"/>
        <v>0</v>
      </c>
      <c r="P135" s="100">
        <f t="shared" si="36"/>
        <v>0</v>
      </c>
      <c r="Q135" s="100">
        <f t="shared" si="36"/>
        <v>0</v>
      </c>
      <c r="R135" s="100">
        <f t="shared" si="36"/>
        <v>0</v>
      </c>
      <c r="S135" s="100">
        <f t="shared" si="36"/>
        <v>0</v>
      </c>
      <c r="T135" s="100">
        <f t="shared" si="36"/>
        <v>0</v>
      </c>
      <c r="U135" s="100">
        <f t="shared" si="36"/>
        <v>0</v>
      </c>
      <c r="V135" s="100">
        <f t="shared" si="36"/>
        <v>0</v>
      </c>
      <c r="W135" s="100">
        <f t="shared" si="36"/>
        <v>0</v>
      </c>
      <c r="X135" s="100">
        <f t="shared" si="36"/>
        <v>0</v>
      </c>
      <c r="Y135" s="100">
        <f t="shared" si="36"/>
        <v>0</v>
      </c>
      <c r="AQ135" s="3"/>
    </row>
    <row r="136" spans="2:43" x14ac:dyDescent="0.25">
      <c r="F136" s="28" t="s">
        <v>454</v>
      </c>
      <c r="G136" s="28" t="s">
        <v>254</v>
      </c>
      <c r="J136" s="121">
        <f t="shared" ref="J136:Y136" si="37">J129 + J134 + J135</f>
        <v>0</v>
      </c>
      <c r="K136" s="121">
        <f t="shared" si="37"/>
        <v>0</v>
      </c>
      <c r="L136" s="121">
        <f t="shared" si="37"/>
        <v>0</v>
      </c>
      <c r="M136" s="121">
        <f t="shared" si="37"/>
        <v>0</v>
      </c>
      <c r="N136" s="121">
        <f t="shared" si="37"/>
        <v>191004.05169309513</v>
      </c>
      <c r="O136" s="121">
        <f t="shared" si="37"/>
        <v>9906.6253977300548</v>
      </c>
      <c r="P136" s="121">
        <f t="shared" si="37"/>
        <v>127476.83918254296</v>
      </c>
      <c r="Q136" s="121">
        <f t="shared" si="37"/>
        <v>0</v>
      </c>
      <c r="R136" s="121">
        <f t="shared" si="37"/>
        <v>0</v>
      </c>
      <c r="S136" s="121">
        <f t="shared" si="37"/>
        <v>0</v>
      </c>
      <c r="T136" s="121">
        <f t="shared" si="37"/>
        <v>25700.51612427906</v>
      </c>
      <c r="U136" s="121">
        <f t="shared" si="37"/>
        <v>0</v>
      </c>
      <c r="V136" s="121">
        <f t="shared" si="37"/>
        <v>0</v>
      </c>
      <c r="W136" s="121">
        <f t="shared" si="37"/>
        <v>0</v>
      </c>
      <c r="X136" s="121">
        <f t="shared" si="37"/>
        <v>41127.35854688855</v>
      </c>
      <c r="Y136" s="121">
        <f t="shared" si="37"/>
        <v>0</v>
      </c>
      <c r="AQ136" s="3"/>
    </row>
    <row r="137" spans="2:43" x14ac:dyDescent="0.25">
      <c r="D137" s="32"/>
      <c r="AQ137" s="3"/>
    </row>
    <row r="138" spans="2:43" x14ac:dyDescent="0.25">
      <c r="B138" s="30" t="s">
        <v>231</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C138" s="30"/>
      <c r="AD138" s="30"/>
      <c r="AE138" s="30"/>
      <c r="AF138" s="30"/>
      <c r="AG138" s="30"/>
      <c r="AH138" s="30"/>
      <c r="AI138" s="30"/>
      <c r="AJ138" s="30"/>
      <c r="AK138" s="30"/>
      <c r="AL138" s="30"/>
      <c r="AM138" s="30"/>
      <c r="AN138" s="30"/>
      <c r="AO138" s="30"/>
      <c r="AQ138" s="30"/>
    </row>
    <row r="140" spans="2:43" x14ac:dyDescent="0.25">
      <c r="E140" t="s">
        <v>232</v>
      </c>
      <c r="G140" s="6" t="s">
        <v>55</v>
      </c>
      <c r="H140" s="26">
        <f t="array" ref="H140">SUM(IF(ISERROR(H22:Y137), 1))</f>
        <v>0</v>
      </c>
    </row>
    <row r="142" spans="2:43" x14ac:dyDescent="0.25">
      <c r="B142" s="30" t="s">
        <v>106</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C142" s="30"/>
      <c r="AD142" s="30"/>
      <c r="AE142" s="30"/>
      <c r="AF142" s="30"/>
      <c r="AG142" s="30"/>
      <c r="AH142" s="30"/>
      <c r="AI142" s="30"/>
      <c r="AJ142" s="30"/>
      <c r="AK142" s="30"/>
      <c r="AL142" s="30"/>
      <c r="AM142" s="30"/>
      <c r="AN142" s="30"/>
      <c r="AO142" s="30"/>
      <c r="AQ142" s="30"/>
    </row>
  </sheetData>
  <sheetProtection sheet="1" objects="1" formatCells="0" formatColumns="0" formatRows="0" sort="0" autoFilter="0"/>
  <conditionalFormatting sqref="H140">
    <cfRule type="cellIs" dxfId="164" priority="10" operator="greaterThan">
      <formula>0</formula>
    </cfRule>
  </conditionalFormatting>
  <conditionalFormatting sqref="A4:I4 Z4:XFD4">
    <cfRule type="expression" dxfId="163" priority="9">
      <formula>LEFT($A$4,1) &lt;&gt; "0"</formula>
    </cfRule>
  </conditionalFormatting>
  <conditionalFormatting sqref="N4:P4">
    <cfRule type="expression" dxfId="162" priority="8">
      <formula>LEFT($A$4,1) &lt;&gt; "0"</formula>
    </cfRule>
  </conditionalFormatting>
  <conditionalFormatting sqref="L4:M4">
    <cfRule type="expression" dxfId="161" priority="7">
      <formula>LEFT($A$4,1) &lt;&gt; "0"</formula>
    </cfRule>
  </conditionalFormatting>
  <conditionalFormatting sqref="J4:K4">
    <cfRule type="expression" dxfId="160" priority="6">
      <formula>LEFT($A$4,1) &lt;&gt; "0"</formula>
    </cfRule>
  </conditionalFormatting>
  <conditionalFormatting sqref="Q4">
    <cfRule type="expression" dxfId="159" priority="5">
      <formula>LEFT($A$4,1) &lt;&gt; "0"</formula>
    </cfRule>
  </conditionalFormatting>
  <conditionalFormatting sqref="R4:S4">
    <cfRule type="expression" dxfId="158" priority="4">
      <formula>LEFT($A$4,1) &lt;&gt; "0"</formula>
    </cfRule>
  </conditionalFormatting>
  <conditionalFormatting sqref="T4:U4">
    <cfRule type="expression" dxfId="157" priority="3">
      <formula>LEFT($A$4,1) &lt;&gt; "0"</formula>
    </cfRule>
  </conditionalFormatting>
  <conditionalFormatting sqref="V4:W4">
    <cfRule type="expression" dxfId="156" priority="2">
      <formula>LEFT($A$4,1) &lt;&gt; "0"</formula>
    </cfRule>
  </conditionalFormatting>
  <conditionalFormatting sqref="X4:Y4">
    <cfRule type="expression" dxfId="155" priority="1">
      <formula>LEFT($A$4,1) &lt;&gt; "0"</formula>
    </cfRule>
  </conditionalFormatting>
  <hyperlinks>
    <hyperlink ref="B5:F5" location="'Model map'!A1" display="Click here to return to model map" xr:uid="{00000000-0004-0000-0C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4" tint="0.59999389629810485"/>
    <pageSetUpPr fitToPage="1"/>
  </sheetPr>
  <dimension ref="A1:KQ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3" width="24.5703125" hidden="1" customWidth="1"/>
    <col min="304" max="16384" width="8.7109375" hidden="1"/>
  </cols>
  <sheetData>
    <row r="1" spans="1:27" s="1" customFormat="1" x14ac:dyDescent="0.25">
      <c r="A1" s="1" t="str">
        <f ca="1">MID(CELL("filename",A1),FIND("]",CELL("filename",A1))+1,255)</f>
        <v>Pseudo-load coefficients</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H306 &amp; IF(H306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0" t="s">
        <v>143</v>
      </c>
      <c r="H5" s="114" t="s">
        <v>144</v>
      </c>
      <c r="I5" s="14"/>
      <c r="J5" s="114" t="s">
        <v>940</v>
      </c>
      <c r="K5" s="114" t="s">
        <v>942</v>
      </c>
      <c r="L5" s="114" t="s">
        <v>941</v>
      </c>
      <c r="M5" s="114" t="s">
        <v>943</v>
      </c>
      <c r="N5" s="114" t="s">
        <v>949</v>
      </c>
      <c r="O5" s="114" t="s">
        <v>950</v>
      </c>
      <c r="P5" s="114" t="s">
        <v>951</v>
      </c>
      <c r="Q5" s="114" t="s">
        <v>952</v>
      </c>
      <c r="R5" s="114" t="s">
        <v>944</v>
      </c>
      <c r="S5" s="114" t="s">
        <v>945</v>
      </c>
      <c r="T5" s="114" t="s">
        <v>946</v>
      </c>
      <c r="U5" s="114" t="s">
        <v>955</v>
      </c>
      <c r="V5" s="114" t="s">
        <v>947</v>
      </c>
      <c r="W5" s="114" t="s">
        <v>954</v>
      </c>
      <c r="X5" s="114" t="s">
        <v>948</v>
      </c>
      <c r="Y5" s="114" t="s">
        <v>953</v>
      </c>
      <c r="AA5" s="60" t="s">
        <v>145</v>
      </c>
    </row>
    <row r="7" spans="1:27" x14ac:dyDescent="0.25">
      <c r="B7" s="30" t="s">
        <v>10</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25">
      <c r="C9" s="29" t="s">
        <v>1024</v>
      </c>
    </row>
    <row r="10" spans="1:27" x14ac:dyDescent="0.25">
      <c r="C10" s="29" t="s">
        <v>456</v>
      </c>
    </row>
    <row r="11" spans="1:27" x14ac:dyDescent="0.25">
      <c r="C11" s="29" t="s">
        <v>457</v>
      </c>
    </row>
    <row r="13" spans="1:27" x14ac:dyDescent="0.25">
      <c r="B13" s="30" t="s">
        <v>458</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25">
      <c r="C15" s="29" t="s">
        <v>1021</v>
      </c>
      <c r="I15" t="s">
        <v>154</v>
      </c>
      <c r="AA15" t="s">
        <v>1022</v>
      </c>
    </row>
    <row r="16" spans="1:27" x14ac:dyDescent="0.25">
      <c r="C16" s="29" t="s">
        <v>459</v>
      </c>
    </row>
    <row r="18" spans="3:27" x14ac:dyDescent="0.25">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24" customFormat="1" x14ac:dyDescent="0.25">
      <c r="E20" s="325" t="s">
        <v>460</v>
      </c>
      <c r="F20" s="326"/>
      <c r="G20" s="326" t="s">
        <v>461</v>
      </c>
      <c r="J20" s="327" t="b">
        <f>'Fixed inputs'!J127</f>
        <v>0</v>
      </c>
      <c r="K20" s="327" t="b">
        <f>'Fixed inputs'!K127</f>
        <v>0</v>
      </c>
      <c r="L20" s="327" t="b">
        <f>'Fixed inputs'!L127</f>
        <v>0</v>
      </c>
      <c r="M20" s="327" t="b">
        <f>'Fixed inputs'!M127</f>
        <v>0</v>
      </c>
      <c r="N20" s="327" t="b">
        <f>'Fixed inputs'!N127</f>
        <v>0</v>
      </c>
      <c r="O20" s="327" t="b">
        <f>'Fixed inputs'!O127</f>
        <v>0</v>
      </c>
      <c r="P20" s="327" t="b">
        <f>'Fixed inputs'!P127</f>
        <v>0</v>
      </c>
      <c r="Q20" s="327" t="b">
        <f>'Fixed inputs'!Q127</f>
        <v>1</v>
      </c>
      <c r="R20" s="327" t="b">
        <f>'Fixed inputs'!R127</f>
        <v>0</v>
      </c>
      <c r="S20" s="327" t="b">
        <f>'Fixed inputs'!S127</f>
        <v>0</v>
      </c>
      <c r="T20" s="327" t="b">
        <f>'Fixed inputs'!T127</f>
        <v>0</v>
      </c>
      <c r="U20" s="327" t="b">
        <f>'Fixed inputs'!U127</f>
        <v>0</v>
      </c>
      <c r="V20" s="327" t="b">
        <f>'Fixed inputs'!V127</f>
        <v>0</v>
      </c>
      <c r="W20" s="327" t="b">
        <f>'Fixed inputs'!W127</f>
        <v>0</v>
      </c>
      <c r="X20" s="327" t="b">
        <f>'Fixed inputs'!X127</f>
        <v>0</v>
      </c>
      <c r="Y20" s="327" t="b">
        <f>'Fixed inputs'!Y127</f>
        <v>0</v>
      </c>
    </row>
    <row r="22" spans="3:27" x14ac:dyDescent="0.25">
      <c r="E22" s="32" t="s">
        <v>462</v>
      </c>
      <c r="I22" t="s">
        <v>154</v>
      </c>
      <c r="AA22" t="s">
        <v>463</v>
      </c>
    </row>
    <row r="23" spans="3:27" x14ac:dyDescent="0.25">
      <c r="E23" s="29" t="s">
        <v>464</v>
      </c>
      <c r="F23" s="29"/>
    </row>
    <row r="24" spans="3:27" x14ac:dyDescent="0.25">
      <c r="F24" s="64" t="s">
        <v>465</v>
      </c>
      <c r="G24" s="64" t="s">
        <v>147</v>
      </c>
      <c r="H24" s="149"/>
      <c r="I24" s="149"/>
      <c r="J24" s="124">
        <f>IF(J$20, 'General inputs'!$H16, 'General inputs'!$H21)</f>
        <v>783</v>
      </c>
      <c r="K24" s="124">
        <f>IF(K$20, 'General inputs'!$H16, 'General inputs'!$H21)</f>
        <v>783</v>
      </c>
      <c r="L24" s="124">
        <f>IF(L$20, 'General inputs'!$H16, 'General inputs'!$H21)</f>
        <v>783</v>
      </c>
      <c r="M24" s="124">
        <f>IF(M$20, 'General inputs'!$H16, 'General inputs'!$H21)</f>
        <v>783</v>
      </c>
      <c r="N24" s="124">
        <f>IF(N$20, 'General inputs'!$H16, 'General inputs'!$H21)</f>
        <v>783</v>
      </c>
      <c r="O24" s="124">
        <f>IF(O$20, 'General inputs'!$H16, 'General inputs'!$H21)</f>
        <v>783</v>
      </c>
      <c r="P24" s="124">
        <f>IF(P$20, 'General inputs'!$H16, 'General inputs'!$H21)</f>
        <v>783</v>
      </c>
      <c r="Q24" s="124">
        <f>IF(Q$20, 'General inputs'!$H16, 'General inputs'!$H21)</f>
        <v>258</v>
      </c>
      <c r="R24" s="124">
        <f>IF(R$20, 'General inputs'!$H16, 'General inputs'!$H21)</f>
        <v>783</v>
      </c>
      <c r="S24" s="124">
        <f>IF(S$20, 'General inputs'!$H16, 'General inputs'!$H21)</f>
        <v>783</v>
      </c>
      <c r="T24" s="124">
        <f>IF(T$20, 'General inputs'!$H16, 'General inputs'!$H21)</f>
        <v>783</v>
      </c>
      <c r="U24" s="124">
        <f>IF(U$20, 'General inputs'!$H16, 'General inputs'!$H21)</f>
        <v>783</v>
      </c>
      <c r="V24" s="124">
        <f>IF(V$20, 'General inputs'!$H16, 'General inputs'!$H21)</f>
        <v>783</v>
      </c>
      <c r="W24" s="124">
        <f>IF(W$20, 'General inputs'!$H16, 'General inputs'!$H21)</f>
        <v>783</v>
      </c>
      <c r="X24" s="124">
        <f>IF(X$20, 'General inputs'!$H16, 'General inputs'!$H21)</f>
        <v>783</v>
      </c>
      <c r="Y24" s="124">
        <f>IF(Y$20, 'General inputs'!$H16, 'General inputs'!$H21)</f>
        <v>783</v>
      </c>
    </row>
    <row r="25" spans="3:27" x14ac:dyDescent="0.25">
      <c r="F25" s="28" t="s">
        <v>466</v>
      </c>
      <c r="G25" t="s">
        <v>147</v>
      </c>
      <c r="H25" s="150"/>
      <c r="I25" s="150"/>
      <c r="J25" s="120">
        <f>IF(J$20, 'General inputs'!$H17, 'General inputs'!$H22)</f>
        <v>3703</v>
      </c>
      <c r="K25" s="120">
        <f>IF(K$20, 'General inputs'!$H17, 'General inputs'!$H22)</f>
        <v>3703</v>
      </c>
      <c r="L25" s="120">
        <f>IF(L$20, 'General inputs'!$H17, 'General inputs'!$H22)</f>
        <v>3703</v>
      </c>
      <c r="M25" s="120">
        <f>IF(M$20, 'General inputs'!$H17, 'General inputs'!$H22)</f>
        <v>3703</v>
      </c>
      <c r="N25" s="120">
        <f>IF(N$20, 'General inputs'!$H17, 'General inputs'!$H22)</f>
        <v>3703</v>
      </c>
      <c r="O25" s="120">
        <f>IF(O$20, 'General inputs'!$H17, 'General inputs'!$H22)</f>
        <v>3703</v>
      </c>
      <c r="P25" s="120">
        <f>IF(P$20, 'General inputs'!$H17, 'General inputs'!$H22)</f>
        <v>3703</v>
      </c>
      <c r="Q25" s="120">
        <f>IF(Q$20, 'General inputs'!$H17, 'General inputs'!$H22)</f>
        <v>4228</v>
      </c>
      <c r="R25" s="120">
        <f>IF(R$20, 'General inputs'!$H17, 'General inputs'!$H22)</f>
        <v>3703</v>
      </c>
      <c r="S25" s="120">
        <f>IF(S$20, 'General inputs'!$H17, 'General inputs'!$H22)</f>
        <v>3703</v>
      </c>
      <c r="T25" s="120">
        <f>IF(T$20, 'General inputs'!$H17, 'General inputs'!$H22)</f>
        <v>3703</v>
      </c>
      <c r="U25" s="120">
        <f>IF(U$20, 'General inputs'!$H17, 'General inputs'!$H22)</f>
        <v>3703</v>
      </c>
      <c r="V25" s="120">
        <f>IF(V$20, 'General inputs'!$H17, 'General inputs'!$H22)</f>
        <v>3703</v>
      </c>
      <c r="W25" s="120">
        <f>IF(W$20, 'General inputs'!$H17, 'General inputs'!$H22)</f>
        <v>3703</v>
      </c>
      <c r="X25" s="120">
        <f>IF(X$20, 'General inputs'!$H17, 'General inputs'!$H22)</f>
        <v>3703</v>
      </c>
      <c r="Y25" s="120">
        <f>IF(Y$20, 'General inputs'!$H17, 'General inputs'!$H22)</f>
        <v>3703</v>
      </c>
    </row>
    <row r="26" spans="3:27" x14ac:dyDescent="0.25">
      <c r="F26" s="67" t="s">
        <v>257</v>
      </c>
      <c r="G26" s="37" t="s">
        <v>147</v>
      </c>
      <c r="H26" s="151"/>
      <c r="I26" s="151"/>
      <c r="J26" s="125">
        <f>IF(J$20, 'General inputs'!$H18, 'General inputs'!$H23)</f>
        <v>4274</v>
      </c>
      <c r="K26" s="125">
        <f>IF(K$20, 'General inputs'!$H18, 'General inputs'!$H23)</f>
        <v>4274</v>
      </c>
      <c r="L26" s="125">
        <f>IF(L$20, 'General inputs'!$H18, 'General inputs'!$H23)</f>
        <v>4274</v>
      </c>
      <c r="M26" s="125">
        <f>IF(M$20, 'General inputs'!$H18, 'General inputs'!$H23)</f>
        <v>4274</v>
      </c>
      <c r="N26" s="125">
        <f>IF(N$20, 'General inputs'!$H18, 'General inputs'!$H23)</f>
        <v>4274</v>
      </c>
      <c r="O26" s="125">
        <f>IF(O$20, 'General inputs'!$H18, 'General inputs'!$H23)</f>
        <v>4274</v>
      </c>
      <c r="P26" s="125">
        <f>IF(P$20, 'General inputs'!$H18, 'General inputs'!$H23)</f>
        <v>4274</v>
      </c>
      <c r="Q26" s="125">
        <f>IF(Q$20, 'General inputs'!$H18, 'General inputs'!$H23)</f>
        <v>4274</v>
      </c>
      <c r="R26" s="125">
        <f>IF(R$20, 'General inputs'!$H18, 'General inputs'!$H23)</f>
        <v>4274</v>
      </c>
      <c r="S26" s="125">
        <f>IF(S$20, 'General inputs'!$H18, 'General inputs'!$H23)</f>
        <v>4274</v>
      </c>
      <c r="T26" s="125">
        <f>IF(T$20, 'General inputs'!$H18, 'General inputs'!$H23)</f>
        <v>4274</v>
      </c>
      <c r="U26" s="125">
        <f>IF(U$20, 'General inputs'!$H18, 'General inputs'!$H23)</f>
        <v>4274</v>
      </c>
      <c r="V26" s="125">
        <f>IF(V$20, 'General inputs'!$H18, 'General inputs'!$H23)</f>
        <v>4274</v>
      </c>
      <c r="W26" s="125">
        <f>IF(W$20, 'General inputs'!$H18, 'General inputs'!$H23)</f>
        <v>4274</v>
      </c>
      <c r="X26" s="125">
        <f>IF(X$20, 'General inputs'!$H18, 'General inputs'!$H23)</f>
        <v>4274</v>
      </c>
      <c r="Y26" s="125">
        <f>IF(Y$20, 'General inputs'!$H18, 'General inputs'!$H23)</f>
        <v>4274</v>
      </c>
    </row>
    <row r="27" spans="3:27" x14ac:dyDescent="0.25">
      <c r="J27" s="89"/>
      <c r="K27" s="89"/>
      <c r="L27" s="89"/>
      <c r="M27" s="89"/>
      <c r="N27" s="89"/>
      <c r="O27" s="89"/>
      <c r="P27" s="89"/>
      <c r="Q27" s="89"/>
      <c r="R27" s="89"/>
      <c r="S27" s="89"/>
      <c r="T27" s="89"/>
      <c r="U27" s="89"/>
      <c r="V27" s="89"/>
      <c r="W27" s="89"/>
      <c r="X27" s="89"/>
      <c r="Y27" s="89"/>
    </row>
    <row r="28" spans="3:27" x14ac:dyDescent="0.25">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25">
      <c r="J29" s="89"/>
      <c r="K29" s="89"/>
      <c r="L29" s="89"/>
      <c r="M29" s="89"/>
      <c r="N29" s="89"/>
      <c r="O29" s="89"/>
      <c r="P29" s="89"/>
      <c r="Q29" s="89"/>
      <c r="R29" s="89"/>
      <c r="S29" s="89"/>
      <c r="T29" s="89"/>
      <c r="U29" s="89"/>
      <c r="V29" s="89"/>
      <c r="W29" s="89"/>
      <c r="X29" s="89"/>
      <c r="Y29" s="89"/>
    </row>
    <row r="30" spans="3:27" x14ac:dyDescent="0.25">
      <c r="E30" s="32" t="s">
        <v>467</v>
      </c>
      <c r="J30" s="89"/>
      <c r="K30" s="89"/>
      <c r="L30" s="89"/>
      <c r="M30" s="89"/>
      <c r="N30" s="89"/>
      <c r="O30" s="89"/>
      <c r="P30" s="89"/>
      <c r="Q30" s="89"/>
      <c r="R30" s="89"/>
      <c r="S30" s="89"/>
      <c r="T30" s="89"/>
      <c r="U30" s="89"/>
      <c r="V30" s="89"/>
      <c r="W30" s="89"/>
      <c r="X30" s="89"/>
      <c r="Y30" s="89"/>
    </row>
    <row r="31" spans="3:27" x14ac:dyDescent="0.25">
      <c r="F31" s="64" t="s">
        <v>156</v>
      </c>
      <c r="G31" s="64" t="s">
        <v>207</v>
      </c>
      <c r="H31" s="23"/>
      <c r="I31" s="23"/>
      <c r="J31" s="124">
        <f>'Volume adjustments'!J66</f>
        <v>311831.94582317385</v>
      </c>
      <c r="K31" s="124">
        <f>'Volume adjustments'!K66</f>
        <v>8828.0434583187307</v>
      </c>
      <c r="L31" s="124">
        <f>'Volume adjustments'!L66</f>
        <v>102378.72879148643</v>
      </c>
      <c r="M31" s="124">
        <f>'Volume adjustments'!M66</f>
        <v>3073.5191857693171</v>
      </c>
      <c r="N31" s="124">
        <f>'Volume adjustments'!N66</f>
        <v>139806.98097606294</v>
      </c>
      <c r="O31" s="124">
        <f>'Volume adjustments'!O66</f>
        <v>11206.437648372332</v>
      </c>
      <c r="P31" s="124">
        <f>'Volume adjustments'!P66</f>
        <v>74694.355628841644</v>
      </c>
      <c r="Q31" s="124">
        <f>'Volume adjustments'!Q66</f>
        <v>4349.8619861455727</v>
      </c>
      <c r="R31" s="124">
        <f>'Volume adjustments'!R66</f>
        <v>658.01792802705074</v>
      </c>
      <c r="S31" s="124">
        <f>'Volume adjustments'!S66</f>
        <v>0.40800000000000008</v>
      </c>
      <c r="T31" s="124">
        <f>'Volume adjustments'!T66</f>
        <v>34142.676188495534</v>
      </c>
      <c r="U31" s="124">
        <f>'Volume adjustments'!U66</f>
        <v>0</v>
      </c>
      <c r="V31" s="124">
        <f>'Volume adjustments'!V66</f>
        <v>353.5321999999997</v>
      </c>
      <c r="W31" s="124">
        <f>'Volume adjustments'!W66</f>
        <v>0</v>
      </c>
      <c r="X31" s="124">
        <f>'Volume adjustments'!X66</f>
        <v>152551.54503003714</v>
      </c>
      <c r="Y31" s="124">
        <f>'Volume adjustments'!Y66</f>
        <v>0</v>
      </c>
    </row>
    <row r="32" spans="3:27" x14ac:dyDescent="0.25">
      <c r="F32" s="28" t="s">
        <v>157</v>
      </c>
      <c r="G32" s="28" t="s">
        <v>207</v>
      </c>
      <c r="J32" s="120">
        <f>'Volume adjustments'!J77</f>
        <v>1222053.7587079387</v>
      </c>
      <c r="K32" s="120">
        <f>'Volume adjustments'!K77</f>
        <v>150887.96998237175</v>
      </c>
      <c r="L32" s="120">
        <f>'Volume adjustments'!L77</f>
        <v>545261.70609176275</v>
      </c>
      <c r="M32" s="120">
        <f>'Volume adjustments'!M77</f>
        <v>14352.322991058796</v>
      </c>
      <c r="N32" s="120">
        <f>'Volume adjustments'!N77</f>
        <v>740397.98107946641</v>
      </c>
      <c r="O32" s="120">
        <f>'Volume adjustments'!O77</f>
        <v>58043.544338799831</v>
      </c>
      <c r="P32" s="120">
        <f>'Volume adjustments'!P77</f>
        <v>375984.60290363373</v>
      </c>
      <c r="Q32" s="120">
        <f>'Volume adjustments'!Q77</f>
        <v>30463.510485625775</v>
      </c>
      <c r="R32" s="120">
        <f>'Volume adjustments'!R77</f>
        <v>3421.5412500488133</v>
      </c>
      <c r="S32" s="120">
        <f>'Volume adjustments'!S77</f>
        <v>1.9430000000000009</v>
      </c>
      <c r="T32" s="120">
        <f>'Volume adjustments'!T77</f>
        <v>178906.97316231087</v>
      </c>
      <c r="U32" s="120">
        <f>'Volume adjustments'!U77</f>
        <v>0</v>
      </c>
      <c r="V32" s="120">
        <f>'Volume adjustments'!V77</f>
        <v>1533.9735999999987</v>
      </c>
      <c r="W32" s="120">
        <f>'Volume adjustments'!W77</f>
        <v>0</v>
      </c>
      <c r="X32" s="120">
        <f>'Volume adjustments'!X77</f>
        <v>747480.09120044974</v>
      </c>
      <c r="Y32" s="120">
        <f>'Volume adjustments'!Y77</f>
        <v>0</v>
      </c>
    </row>
    <row r="33" spans="3:27" x14ac:dyDescent="0.25">
      <c r="F33" s="28" t="s">
        <v>158</v>
      </c>
      <c r="G33" s="28" t="s">
        <v>207</v>
      </c>
      <c r="J33" s="120">
        <f>'Volume adjustments'!J88</f>
        <v>1077177.8887757412</v>
      </c>
      <c r="K33" s="120">
        <f>'Volume adjustments'!K88</f>
        <v>223429.42078208068</v>
      </c>
      <c r="L33" s="120">
        <f>'Volume adjustments'!L88</f>
        <v>367147.65331594134</v>
      </c>
      <c r="M33" s="120">
        <f>'Volume adjustments'!M88</f>
        <v>17378.187088510807</v>
      </c>
      <c r="N33" s="120">
        <f>'Volume adjustments'!N88</f>
        <v>555413.37242437864</v>
      </c>
      <c r="O33" s="120">
        <f>'Volume adjustments'!O88</f>
        <v>54070.107464039262</v>
      </c>
      <c r="P33" s="120">
        <f>'Volume adjustments'!P88</f>
        <v>347717.92720260756</v>
      </c>
      <c r="Q33" s="120">
        <f>'Volume adjustments'!Q88</f>
        <v>58641.778056120806</v>
      </c>
      <c r="R33" s="120">
        <f>'Volume adjustments'!R88</f>
        <v>1824.0799299361463</v>
      </c>
      <c r="S33" s="120">
        <f>'Volume adjustments'!S88</f>
        <v>1.1440000000000006</v>
      </c>
      <c r="T33" s="120">
        <f>'Volume adjustments'!T88</f>
        <v>194968.53407257851</v>
      </c>
      <c r="U33" s="120">
        <f>'Volume adjustments'!U88</f>
        <v>0</v>
      </c>
      <c r="V33" s="120">
        <f>'Volume adjustments'!V88</f>
        <v>1544.822899999999</v>
      </c>
      <c r="W33" s="120">
        <f>'Volume adjustments'!W88</f>
        <v>0</v>
      </c>
      <c r="X33" s="120">
        <f>'Volume adjustments'!X88</f>
        <v>790777.23541179951</v>
      </c>
      <c r="Y33" s="120">
        <f>'Volume adjustments'!Y88</f>
        <v>0</v>
      </c>
    </row>
    <row r="34" spans="3:27" x14ac:dyDescent="0.25">
      <c r="F34" s="152" t="s">
        <v>455</v>
      </c>
      <c r="G34" s="152" t="s">
        <v>207</v>
      </c>
      <c r="H34" s="108"/>
      <c r="I34" s="108"/>
      <c r="J34" s="153">
        <f t="shared" ref="J34:Y34" si="0">SUM(J31:J33)</f>
        <v>2611063.5933068539</v>
      </c>
      <c r="K34" s="153">
        <f t="shared" si="0"/>
        <v>383145.43422277115</v>
      </c>
      <c r="L34" s="153">
        <f t="shared" si="0"/>
        <v>1014788.0881991906</v>
      </c>
      <c r="M34" s="153">
        <f t="shared" si="0"/>
        <v>34804.029265338919</v>
      </c>
      <c r="N34" s="153">
        <f t="shared" si="0"/>
        <v>1435618.334479908</v>
      </c>
      <c r="O34" s="153">
        <f t="shared" si="0"/>
        <v>123320.08945121142</v>
      </c>
      <c r="P34" s="153">
        <f t="shared" si="0"/>
        <v>798396.88573508291</v>
      </c>
      <c r="Q34" s="153">
        <f t="shared" si="0"/>
        <v>93455.150527892154</v>
      </c>
      <c r="R34" s="153">
        <f t="shared" si="0"/>
        <v>5903.6391080120102</v>
      </c>
      <c r="S34" s="153">
        <f t="shared" si="0"/>
        <v>3.4950000000000014</v>
      </c>
      <c r="T34" s="153">
        <f t="shared" si="0"/>
        <v>408018.18342338491</v>
      </c>
      <c r="U34" s="153">
        <f t="shared" si="0"/>
        <v>0</v>
      </c>
      <c r="V34" s="153">
        <f t="shared" si="0"/>
        <v>3432.3286999999973</v>
      </c>
      <c r="W34" s="153">
        <f t="shared" si="0"/>
        <v>0</v>
      </c>
      <c r="X34" s="153">
        <f t="shared" si="0"/>
        <v>1690808.8716422864</v>
      </c>
      <c r="Y34" s="153">
        <f t="shared" si="0"/>
        <v>0</v>
      </c>
    </row>
    <row r="35" spans="3:27" x14ac:dyDescent="0.25">
      <c r="F35" s="28"/>
      <c r="G35" s="28"/>
      <c r="J35" s="25"/>
      <c r="K35" s="25"/>
      <c r="L35" s="25"/>
      <c r="M35" s="25"/>
      <c r="N35" s="25"/>
      <c r="O35" s="25"/>
      <c r="P35" s="25"/>
      <c r="Q35" s="25"/>
      <c r="R35" s="25"/>
      <c r="S35" s="25"/>
      <c r="T35" s="25"/>
      <c r="U35" s="25"/>
      <c r="V35" s="25"/>
      <c r="W35" s="25"/>
      <c r="X35" s="25"/>
      <c r="Y35" s="25"/>
      <c r="Z35" s="25"/>
    </row>
    <row r="36" spans="3:27" x14ac:dyDescent="0.25">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25">
      <c r="J37" s="89"/>
      <c r="K37" s="89"/>
      <c r="L37" s="89"/>
      <c r="M37" s="89"/>
      <c r="N37" s="89"/>
      <c r="O37" s="89"/>
      <c r="P37" s="89"/>
      <c r="Q37" s="89"/>
      <c r="R37" s="89"/>
      <c r="S37" s="89"/>
      <c r="T37" s="89"/>
      <c r="U37" s="89"/>
      <c r="V37" s="89"/>
      <c r="W37" s="89"/>
      <c r="X37" s="89"/>
      <c r="Y37" s="89"/>
    </row>
    <row r="38" spans="3:27" x14ac:dyDescent="0.25">
      <c r="E38" s="28" t="s">
        <v>1007</v>
      </c>
      <c r="F38" s="28"/>
      <c r="G38" s="28" t="s">
        <v>149</v>
      </c>
      <c r="I38" s="333" t="s">
        <v>154</v>
      </c>
      <c r="J38" s="328">
        <f>'Fixed inputs'!J149</f>
        <v>1</v>
      </c>
      <c r="K38" s="328">
        <f>'Fixed inputs'!K149</f>
        <v>1</v>
      </c>
      <c r="L38" s="328">
        <f>'Fixed inputs'!L149</f>
        <v>2</v>
      </c>
      <c r="M38" s="328">
        <f>'Fixed inputs'!M149</f>
        <v>2</v>
      </c>
      <c r="N38" s="329"/>
      <c r="O38" s="329"/>
      <c r="P38" s="329"/>
      <c r="Q38" s="329"/>
      <c r="R38" s="329"/>
      <c r="S38" s="329"/>
      <c r="T38" s="329"/>
      <c r="U38" s="329"/>
      <c r="V38" s="329"/>
      <c r="W38" s="329"/>
      <c r="X38" s="329"/>
      <c r="Y38" s="329"/>
      <c r="AA38" s="333" t="s">
        <v>1020</v>
      </c>
    </row>
    <row r="39" spans="3:27" x14ac:dyDescent="0.25">
      <c r="J39" s="89"/>
      <c r="K39" s="89"/>
      <c r="L39" s="89"/>
      <c r="M39" s="89"/>
      <c r="N39" s="89"/>
      <c r="O39" s="89"/>
      <c r="P39" s="89"/>
      <c r="Q39" s="89"/>
      <c r="R39" s="89"/>
      <c r="S39" s="89"/>
      <c r="T39" s="89"/>
      <c r="U39" s="89"/>
      <c r="V39" s="89"/>
      <c r="W39" s="89"/>
      <c r="X39" s="89"/>
      <c r="Y39" s="89"/>
    </row>
    <row r="40" spans="3:27" x14ac:dyDescent="0.25">
      <c r="E40" s="32" t="s">
        <v>1008</v>
      </c>
      <c r="J40" s="89"/>
      <c r="K40" s="89"/>
      <c r="L40" s="89"/>
      <c r="M40" s="89"/>
      <c r="N40" s="89"/>
      <c r="O40" s="89"/>
      <c r="P40" s="89"/>
      <c r="Q40" s="89"/>
      <c r="R40" s="89"/>
      <c r="S40" s="89"/>
      <c r="T40" s="89"/>
      <c r="U40" s="89"/>
      <c r="V40" s="89"/>
      <c r="W40" s="89"/>
      <c r="X40" s="89"/>
      <c r="Y40" s="89"/>
    </row>
    <row r="41" spans="3:27" x14ac:dyDescent="0.25">
      <c r="E41" s="29" t="s">
        <v>464</v>
      </c>
    </row>
    <row r="42" spans="3:27" x14ac:dyDescent="0.25">
      <c r="F42" s="64" t="s">
        <v>465</v>
      </c>
      <c r="G42" s="64" t="s">
        <v>167</v>
      </c>
      <c r="H42" s="23"/>
      <c r="I42" s="23"/>
      <c r="J42" s="154">
        <f t="shared" ref="J42:M44" si="1">SUMIF($J$38:$Y$38, J$38, $J31:$Y31) / SUMIF($J$38:$Y$38, J$38, $J$34:$Y$34)</f>
        <v>0.10709338804781221</v>
      </c>
      <c r="K42" s="154">
        <f t="shared" si="1"/>
        <v>0.10709338804781221</v>
      </c>
      <c r="L42" s="154">
        <f t="shared" si="1"/>
        <v>0.10046974079034987</v>
      </c>
      <c r="M42" s="154">
        <f t="shared" si="1"/>
        <v>0.10046974079034987</v>
      </c>
      <c r="N42" s="330"/>
      <c r="O42" s="330"/>
      <c r="P42" s="330"/>
      <c r="Q42" s="330"/>
      <c r="R42" s="330"/>
      <c r="S42" s="330"/>
      <c r="T42" s="330"/>
      <c r="U42" s="330"/>
      <c r="V42" s="330"/>
      <c r="W42" s="330"/>
      <c r="X42" s="330"/>
      <c r="Y42" s="330"/>
    </row>
    <row r="43" spans="3:27" x14ac:dyDescent="0.25">
      <c r="F43" s="28" t="s">
        <v>466</v>
      </c>
      <c r="G43" s="28" t="s">
        <v>167</v>
      </c>
      <c r="J43" s="145">
        <f t="shared" si="1"/>
        <v>0.45853235898599143</v>
      </c>
      <c r="K43" s="145">
        <f t="shared" si="1"/>
        <v>0.45853235898599143</v>
      </c>
      <c r="L43" s="145">
        <f t="shared" si="1"/>
        <v>0.53317285807620729</v>
      </c>
      <c r="M43" s="145">
        <f t="shared" si="1"/>
        <v>0.53317285807620729</v>
      </c>
      <c r="N43" s="70"/>
      <c r="O43" s="70"/>
      <c r="P43" s="70"/>
      <c r="Q43" s="70"/>
      <c r="R43" s="70"/>
      <c r="S43" s="70"/>
      <c r="T43" s="70"/>
      <c r="U43" s="70"/>
      <c r="V43" s="70"/>
      <c r="W43" s="70"/>
      <c r="X43" s="70"/>
      <c r="Y43" s="70"/>
    </row>
    <row r="44" spans="3:27" x14ac:dyDescent="0.25">
      <c r="F44" s="67" t="s">
        <v>257</v>
      </c>
      <c r="G44" s="67" t="s">
        <v>167</v>
      </c>
      <c r="H44" s="37"/>
      <c r="I44" s="37"/>
      <c r="J44" s="155">
        <f t="shared" si="1"/>
        <v>0.43437425296619625</v>
      </c>
      <c r="K44" s="155">
        <f t="shared" si="1"/>
        <v>0.43437425296619625</v>
      </c>
      <c r="L44" s="155">
        <f t="shared" si="1"/>
        <v>0.36635740113344267</v>
      </c>
      <c r="M44" s="155">
        <f t="shared" si="1"/>
        <v>0.36635740113344267</v>
      </c>
      <c r="N44" s="71"/>
      <c r="O44" s="71"/>
      <c r="P44" s="71"/>
      <c r="Q44" s="71"/>
      <c r="R44" s="71"/>
      <c r="S44" s="71"/>
      <c r="T44" s="71"/>
      <c r="U44" s="71"/>
      <c r="V44" s="71"/>
      <c r="W44" s="71"/>
      <c r="X44" s="71"/>
      <c r="Y44" s="71"/>
    </row>
    <row r="45" spans="3:27" x14ac:dyDescent="0.25">
      <c r="J45" s="89"/>
      <c r="K45" s="89"/>
      <c r="L45" s="89"/>
      <c r="M45" s="89"/>
      <c r="N45" s="89"/>
      <c r="O45" s="89"/>
      <c r="P45" s="89"/>
      <c r="Q45" s="89"/>
      <c r="R45" s="89"/>
      <c r="S45" s="89"/>
      <c r="T45" s="89"/>
      <c r="U45" s="89"/>
      <c r="V45" s="89"/>
      <c r="W45" s="89"/>
      <c r="X45" s="89"/>
      <c r="Y45" s="89"/>
    </row>
    <row r="46" spans="3:27" x14ac:dyDescent="0.25">
      <c r="E46" s="32" t="s">
        <v>1009</v>
      </c>
      <c r="F46" s="28"/>
      <c r="G46" s="28"/>
    </row>
    <row r="47" spans="3:27" x14ac:dyDescent="0.25">
      <c r="E47" s="29" t="s">
        <v>464</v>
      </c>
    </row>
    <row r="48" spans="3:27" x14ac:dyDescent="0.25">
      <c r="F48" s="64" t="s">
        <v>465</v>
      </c>
      <c r="G48" s="64" t="s">
        <v>167</v>
      </c>
      <c r="H48" s="23"/>
      <c r="I48" s="23"/>
      <c r="J48" s="154">
        <f>IF(ISNUMBER(J$38), J42, IF(J$34 = 0, 0, J31 / J$34))</f>
        <v>0.10709338804781221</v>
      </c>
      <c r="K48" s="154">
        <f t="shared" ref="K48:Y48" si="2">IF(ISNUMBER(K$38), K42, IF(K$34 = 0, 0, K31 / K$34))</f>
        <v>0.10709338804781221</v>
      </c>
      <c r="L48" s="154">
        <f t="shared" si="2"/>
        <v>0.10046974079034987</v>
      </c>
      <c r="M48" s="154">
        <f t="shared" si="2"/>
        <v>0.10046974079034987</v>
      </c>
      <c r="N48" s="154">
        <f t="shared" si="2"/>
        <v>9.7384505072312166E-2</v>
      </c>
      <c r="O48" s="154">
        <f t="shared" si="2"/>
        <v>9.0872766134392768E-2</v>
      </c>
      <c r="P48" s="154">
        <f t="shared" si="2"/>
        <v>9.355541957064456E-2</v>
      </c>
      <c r="Q48" s="154">
        <f t="shared" si="2"/>
        <v>4.6544914449068643E-2</v>
      </c>
      <c r="R48" s="154">
        <f t="shared" si="2"/>
        <v>0.11145971425218631</v>
      </c>
      <c r="S48" s="154">
        <f t="shared" si="2"/>
        <v>0.11673819742489268</v>
      </c>
      <c r="T48" s="154">
        <f t="shared" si="2"/>
        <v>8.3679300520454941E-2</v>
      </c>
      <c r="U48" s="154">
        <f t="shared" si="2"/>
        <v>0</v>
      </c>
      <c r="V48" s="154">
        <f t="shared" si="2"/>
        <v>0.1030006828891417</v>
      </c>
      <c r="W48" s="154">
        <f t="shared" si="2"/>
        <v>0</v>
      </c>
      <c r="X48" s="154">
        <f t="shared" si="2"/>
        <v>9.0224003190770757E-2</v>
      </c>
      <c r="Y48" s="154">
        <f t="shared" si="2"/>
        <v>0</v>
      </c>
    </row>
    <row r="49" spans="2:27" x14ac:dyDescent="0.25">
      <c r="F49" s="28" t="s">
        <v>466</v>
      </c>
      <c r="G49" s="28" t="s">
        <v>167</v>
      </c>
      <c r="J49" s="145">
        <f t="shared" ref="J49:Y49" si="3">IF(ISNUMBER(J$38), J43, IF(J$34 = 0, 0, J32 / J$34))</f>
        <v>0.45853235898599143</v>
      </c>
      <c r="K49" s="145">
        <f t="shared" si="3"/>
        <v>0.45853235898599143</v>
      </c>
      <c r="L49" s="145">
        <f t="shared" si="3"/>
        <v>0.53317285807620729</v>
      </c>
      <c r="M49" s="145">
        <f t="shared" si="3"/>
        <v>0.53317285807620729</v>
      </c>
      <c r="N49" s="145">
        <f t="shared" si="3"/>
        <v>0.51573455374383737</v>
      </c>
      <c r="O49" s="145">
        <f t="shared" si="3"/>
        <v>0.47067387476850103</v>
      </c>
      <c r="P49" s="145">
        <f t="shared" si="3"/>
        <v>0.47092443573031378</v>
      </c>
      <c r="Q49" s="145">
        <f t="shared" si="3"/>
        <v>0.32596930520735495</v>
      </c>
      <c r="R49" s="145">
        <f t="shared" si="3"/>
        <v>0.57956477139758333</v>
      </c>
      <c r="S49" s="145">
        <f t="shared" si="3"/>
        <v>0.55593705293276108</v>
      </c>
      <c r="T49" s="145">
        <f t="shared" si="3"/>
        <v>0.43847794150062652</v>
      </c>
      <c r="U49" s="145">
        <f t="shared" si="3"/>
        <v>0</v>
      </c>
      <c r="V49" s="145">
        <f t="shared" si="3"/>
        <v>0.44691920094948945</v>
      </c>
      <c r="W49" s="145">
        <f t="shared" si="3"/>
        <v>0</v>
      </c>
      <c r="X49" s="145">
        <f t="shared" si="3"/>
        <v>0.44208432055032965</v>
      </c>
      <c r="Y49" s="145">
        <f t="shared" si="3"/>
        <v>0</v>
      </c>
    </row>
    <row r="50" spans="2:27" x14ac:dyDescent="0.25">
      <c r="F50" s="67" t="s">
        <v>257</v>
      </c>
      <c r="G50" s="67" t="s">
        <v>167</v>
      </c>
      <c r="H50" s="37"/>
      <c r="I50" s="37"/>
      <c r="J50" s="155">
        <f t="shared" ref="J50:Y50" si="4">IF(ISNUMBER(J$38), J44, IF(J$34 = 0, 0, J33 / J$34))</f>
        <v>0.43437425296619625</v>
      </c>
      <c r="K50" s="155">
        <f t="shared" si="4"/>
        <v>0.43437425296619625</v>
      </c>
      <c r="L50" s="155">
        <f t="shared" si="4"/>
        <v>0.36635740113344267</v>
      </c>
      <c r="M50" s="155">
        <f t="shared" si="4"/>
        <v>0.36635740113344267</v>
      </c>
      <c r="N50" s="155">
        <f t="shared" si="4"/>
        <v>0.38688094118385047</v>
      </c>
      <c r="O50" s="155">
        <f t="shared" si="4"/>
        <v>0.43845335909710625</v>
      </c>
      <c r="P50" s="155">
        <f t="shared" si="4"/>
        <v>0.43552014469904171</v>
      </c>
      <c r="Q50" s="155">
        <f t="shared" si="4"/>
        <v>0.62748578034357638</v>
      </c>
      <c r="R50" s="155">
        <f t="shared" si="4"/>
        <v>0.30897551435023041</v>
      </c>
      <c r="S50" s="155">
        <f t="shared" si="4"/>
        <v>0.32732474964234626</v>
      </c>
      <c r="T50" s="155">
        <f t="shared" si="4"/>
        <v>0.47784275797891856</v>
      </c>
      <c r="U50" s="155">
        <f t="shared" si="4"/>
        <v>0</v>
      </c>
      <c r="V50" s="155">
        <f t="shared" si="4"/>
        <v>0.45008011616136889</v>
      </c>
      <c r="W50" s="155">
        <f t="shared" si="4"/>
        <v>0</v>
      </c>
      <c r="X50" s="155">
        <f t="shared" si="4"/>
        <v>0.46769167625889957</v>
      </c>
      <c r="Y50" s="155">
        <f t="shared" si="4"/>
        <v>0</v>
      </c>
    </row>
    <row r="52" spans="2:27" x14ac:dyDescent="0.25">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25">
      <c r="E54" t="s">
        <v>468</v>
      </c>
      <c r="G54" t="s">
        <v>283</v>
      </c>
      <c r="H54" s="89"/>
      <c r="I54" s="89"/>
      <c r="J54" s="89">
        <f t="shared" ref="J54:Y54" si="5">J48 * hours_in_year / J24</f>
        <v>1.1981329237533014</v>
      </c>
      <c r="K54" s="89">
        <f t="shared" si="5"/>
        <v>1.1981329237533014</v>
      </c>
      <c r="L54" s="89">
        <f t="shared" si="5"/>
        <v>1.1240292839380137</v>
      </c>
      <c r="M54" s="89">
        <f t="shared" si="5"/>
        <v>1.1240292839380137</v>
      </c>
      <c r="N54" s="89">
        <f t="shared" si="5"/>
        <v>1.0895124705408104</v>
      </c>
      <c r="O54" s="89">
        <f t="shared" si="5"/>
        <v>1.016660831848379</v>
      </c>
      <c r="P54" s="89">
        <f t="shared" si="5"/>
        <v>1.0466736595642994</v>
      </c>
      <c r="Q54" s="89">
        <f t="shared" si="5"/>
        <v>1.5803622115265168</v>
      </c>
      <c r="R54" s="89">
        <f t="shared" si="5"/>
        <v>1.246982243740935</v>
      </c>
      <c r="S54" s="89">
        <f t="shared" si="5"/>
        <v>1.3060365382401786</v>
      </c>
      <c r="T54" s="89">
        <f t="shared" si="5"/>
        <v>0.93618221271926605</v>
      </c>
      <c r="U54" s="89">
        <f t="shared" si="5"/>
        <v>0</v>
      </c>
      <c r="V54" s="89">
        <f t="shared" si="5"/>
        <v>1.1523448047367577</v>
      </c>
      <c r="W54" s="89">
        <f t="shared" si="5"/>
        <v>0</v>
      </c>
      <c r="X54" s="89">
        <f t="shared" si="5"/>
        <v>1.0094026410614965</v>
      </c>
      <c r="Y54" s="89">
        <f t="shared" si="5"/>
        <v>0</v>
      </c>
    </row>
    <row r="55" spans="2:27" x14ac:dyDescent="0.25">
      <c r="J55" s="63"/>
      <c r="K55" s="63"/>
      <c r="L55" s="63"/>
      <c r="M55" s="63"/>
      <c r="N55" s="63"/>
      <c r="O55" s="63"/>
      <c r="P55" s="63"/>
      <c r="Q55" s="63"/>
      <c r="R55" s="63"/>
      <c r="S55" s="63"/>
      <c r="T55" s="63"/>
      <c r="U55" s="63"/>
      <c r="V55" s="63"/>
      <c r="W55" s="63"/>
      <c r="X55" s="63"/>
      <c r="Y55" s="63"/>
    </row>
    <row r="56" spans="2:27" x14ac:dyDescent="0.25">
      <c r="B56" s="30" t="s">
        <v>469</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25">
      <c r="F57" s="28"/>
      <c r="G57" s="28"/>
    </row>
    <row r="58" spans="2:27" x14ac:dyDescent="0.25">
      <c r="C58" s="29" t="s">
        <v>470</v>
      </c>
      <c r="F58" s="28"/>
      <c r="G58" s="28"/>
    </row>
    <row r="59" spans="2:27" x14ac:dyDescent="0.25">
      <c r="F59" s="28"/>
      <c r="G59" s="28"/>
    </row>
    <row r="60" spans="2:27" x14ac:dyDescent="0.25">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25">
      <c r="D61" s="32"/>
      <c r="J61" s="25"/>
      <c r="K61" s="25"/>
      <c r="L61" s="25"/>
      <c r="M61" s="25"/>
      <c r="N61" s="25"/>
      <c r="O61" s="25"/>
      <c r="P61" s="25"/>
      <c r="Q61" s="25"/>
      <c r="R61" s="25"/>
      <c r="S61" s="25"/>
      <c r="T61" s="25"/>
      <c r="U61" s="25"/>
      <c r="V61" s="25"/>
      <c r="W61" s="25"/>
      <c r="X61" s="25"/>
      <c r="Y61" s="25"/>
    </row>
    <row r="62" spans="2:27" x14ac:dyDescent="0.25">
      <c r="E62" s="28" t="s">
        <v>241</v>
      </c>
      <c r="G62" s="28" t="s">
        <v>167</v>
      </c>
      <c r="J62" s="25">
        <f>'Inputs by customer type'!J15</f>
        <v>0.43432307672087345</v>
      </c>
      <c r="K62" s="25">
        <f>'Inputs by customer type'!K15</f>
        <v>0.18951942115043272</v>
      </c>
      <c r="L62" s="25">
        <f>'Inputs by customer type'!L15</f>
        <v>0.43270423944455622</v>
      </c>
      <c r="M62" s="25">
        <f>'Inputs by customer type'!M15</f>
        <v>0.21748502917939075</v>
      </c>
      <c r="N62" s="25">
        <f>'Inputs by customer type'!N15</f>
        <v>0.56987657688656024</v>
      </c>
      <c r="O62" s="25">
        <f>'Inputs by customer type'!O15</f>
        <v>0.72085080315425287</v>
      </c>
      <c r="P62" s="25">
        <f>'Inputs by customer type'!P15</f>
        <v>0.69256761043616277</v>
      </c>
      <c r="Q62" s="25">
        <f>'Inputs by customer type'!Q15</f>
        <v>0.48242330362199853</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25">
      <c r="E63" s="28" t="s">
        <v>243</v>
      </c>
      <c r="G63" s="28" t="s">
        <v>167</v>
      </c>
      <c r="J63" s="25">
        <f>'Inputs by customer type'!J16</f>
        <v>0.83240291023859581</v>
      </c>
      <c r="K63" s="25">
        <f>'Inputs by customer type'!K16</f>
        <v>0</v>
      </c>
      <c r="L63" s="25">
        <f>'Inputs by customer type'!L16</f>
        <v>0.73280423580923149</v>
      </c>
      <c r="M63" s="25">
        <f>'Inputs by customer type'!M16</f>
        <v>0</v>
      </c>
      <c r="N63" s="25">
        <f>'Inputs by customer type'!N16</f>
        <v>0.8069098514633426</v>
      </c>
      <c r="O63" s="25">
        <f>'Inputs by customer type'!O16</f>
        <v>0.81068748749169472</v>
      </c>
      <c r="P63" s="25">
        <f>'Inputs by customer type'!P16</f>
        <v>0.82093800267353068</v>
      </c>
      <c r="Q63" s="25">
        <f>'Inputs by customer type'!Q16</f>
        <v>0.84222288633177023</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25">
      <c r="F64" s="28"/>
      <c r="G64" s="28"/>
      <c r="J64" s="25"/>
      <c r="K64" s="25"/>
      <c r="L64" s="25"/>
      <c r="M64" s="25"/>
      <c r="N64" s="25"/>
      <c r="O64" s="25"/>
      <c r="P64" s="25"/>
      <c r="Q64" s="25"/>
      <c r="R64" s="25"/>
      <c r="S64" s="25"/>
      <c r="T64" s="25"/>
      <c r="U64" s="25"/>
      <c r="V64" s="25"/>
      <c r="W64" s="25"/>
      <c r="X64" s="25"/>
      <c r="Y64" s="25"/>
    </row>
    <row r="65" spans="3:27" x14ac:dyDescent="0.25">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25">
      <c r="D67" s="32" t="s">
        <v>1010</v>
      </c>
      <c r="E67" s="28"/>
      <c r="F67" s="28"/>
      <c r="G67" s="28"/>
    </row>
    <row r="68" spans="3:27" x14ac:dyDescent="0.25">
      <c r="D68" s="32"/>
      <c r="E68" s="28"/>
      <c r="F68" s="28"/>
      <c r="G68" s="28"/>
    </row>
    <row r="69" spans="3:27" x14ac:dyDescent="0.25">
      <c r="D69" s="32"/>
      <c r="E69" s="28" t="s">
        <v>1011</v>
      </c>
      <c r="F69" s="28"/>
      <c r="G69" s="28" t="s">
        <v>172</v>
      </c>
      <c r="J69" s="89">
        <f>J34 / hours_in_year</f>
        <v>298.06662024050843</v>
      </c>
      <c r="K69" s="89">
        <f>K34 / hours_in_year</f>
        <v>43.738063267439628</v>
      </c>
      <c r="L69" s="89">
        <f>L34 / hours_in_year</f>
        <v>115.84338906383454</v>
      </c>
      <c r="M69" s="89">
        <f>M34 / hours_in_year</f>
        <v>3.9730627015227076</v>
      </c>
      <c r="N69" s="329"/>
      <c r="O69" s="329"/>
      <c r="P69" s="329"/>
      <c r="Q69" s="329"/>
      <c r="R69" s="329"/>
      <c r="S69" s="329"/>
      <c r="T69" s="329"/>
      <c r="U69" s="329"/>
      <c r="V69" s="329"/>
      <c r="W69" s="329"/>
      <c r="X69" s="329"/>
      <c r="Y69" s="329"/>
    </row>
    <row r="70" spans="3:27" x14ac:dyDescent="0.25">
      <c r="D70" s="32"/>
      <c r="E70" s="28"/>
      <c r="F70" s="28"/>
      <c r="G70" s="28"/>
    </row>
    <row r="71" spans="3:27" x14ac:dyDescent="0.25">
      <c r="D71" s="32"/>
      <c r="E71" s="28" t="s">
        <v>471</v>
      </c>
      <c r="F71" s="28"/>
      <c r="G71" s="28" t="s">
        <v>172</v>
      </c>
      <c r="J71" s="89">
        <f>IF(J62 = 0, 0, J34 / (J62 * hours_in_year))</f>
        <v>686.27857053072728</v>
      </c>
      <c r="K71" s="89">
        <f>IF(K62 = 0, 0, K34 / (K62 * hours_in_year))</f>
        <v>230.78406952669062</v>
      </c>
      <c r="L71" s="89">
        <f>IF(L62 = 0, 0, L34 / (L62 * hours_in_year))</f>
        <v>267.71956108527553</v>
      </c>
      <c r="M71" s="89">
        <f>IF(M62 = 0, 0, M34 / (M62 * hours_in_year))</f>
        <v>18.268212375416237</v>
      </c>
      <c r="N71" s="329"/>
      <c r="O71" s="329"/>
      <c r="P71" s="329"/>
      <c r="Q71" s="329"/>
      <c r="R71" s="329"/>
      <c r="S71" s="329"/>
      <c r="T71" s="329"/>
      <c r="U71" s="329"/>
      <c r="V71" s="329"/>
      <c r="W71" s="329"/>
      <c r="X71" s="329"/>
      <c r="Y71" s="329"/>
    </row>
    <row r="72" spans="3:27" x14ac:dyDescent="0.25">
      <c r="D72" s="32"/>
      <c r="E72" s="28"/>
      <c r="F72" s="28"/>
      <c r="G72" s="28"/>
    </row>
    <row r="73" spans="3:27" x14ac:dyDescent="0.25">
      <c r="D73" s="32"/>
      <c r="E73" s="28" t="s">
        <v>1012</v>
      </c>
      <c r="F73" s="28"/>
      <c r="G73" s="28" t="s">
        <v>172</v>
      </c>
      <c r="J73" s="89">
        <f>J71 * J63</f>
        <v>571.26027934416084</v>
      </c>
      <c r="K73" s="89">
        <f t="shared" ref="K73:M73" si="6">K71 * K63</f>
        <v>0</v>
      </c>
      <c r="L73" s="89">
        <f t="shared" si="6"/>
        <v>196.1860283722782</v>
      </c>
      <c r="M73" s="89">
        <f t="shared" si="6"/>
        <v>0</v>
      </c>
      <c r="N73" s="329"/>
      <c r="O73" s="329"/>
      <c r="P73" s="329"/>
      <c r="Q73" s="329"/>
      <c r="R73" s="329"/>
      <c r="S73" s="329"/>
      <c r="T73" s="329"/>
      <c r="U73" s="329"/>
      <c r="V73" s="329"/>
      <c r="W73" s="329"/>
      <c r="X73" s="329"/>
      <c r="Y73" s="329"/>
    </row>
    <row r="74" spans="3:27" x14ac:dyDescent="0.25">
      <c r="D74" s="32"/>
      <c r="E74" s="28"/>
      <c r="F74" s="28"/>
      <c r="G74" s="28"/>
    </row>
    <row r="75" spans="3:27" x14ac:dyDescent="0.25">
      <c r="D75" s="32" t="s">
        <v>1013</v>
      </c>
      <c r="E75" s="28"/>
      <c r="F75" s="28"/>
      <c r="G75" s="28"/>
    </row>
    <row r="76" spans="3:27" x14ac:dyDescent="0.25">
      <c r="D76" s="32"/>
      <c r="E76" s="28"/>
      <c r="F76" s="28"/>
      <c r="G76" s="28"/>
    </row>
    <row r="77" spans="3:27" x14ac:dyDescent="0.25">
      <c r="D77" s="32"/>
      <c r="E77" s="28" t="s">
        <v>241</v>
      </c>
      <c r="F77" s="28"/>
      <c r="G77" s="28" t="s">
        <v>167</v>
      </c>
      <c r="J77" s="145">
        <f>SUMIF($J$38:$Y$38, J$38, $J$69:$Y$69) / SUMIF($J$38:$Y$38, J$38, $J$71:$Y$71)</f>
        <v>0.37271683370129166</v>
      </c>
      <c r="K77" s="145">
        <f t="shared" ref="K77:M77" si="7">SUMIF($J$38:$Y$38, K$38, $J$69:$Y$69) / SUMIF($J$38:$Y$38, K$38, $J$71:$Y$71)</f>
        <v>0.37271683370129166</v>
      </c>
      <c r="L77" s="145">
        <f t="shared" si="7"/>
        <v>0.4189565529864363</v>
      </c>
      <c r="M77" s="145">
        <f t="shared" si="7"/>
        <v>0.4189565529864363</v>
      </c>
      <c r="N77" s="329"/>
      <c r="O77" s="329"/>
      <c r="P77" s="329"/>
      <c r="Q77" s="329"/>
      <c r="R77" s="329"/>
      <c r="S77" s="329"/>
      <c r="T77" s="329"/>
      <c r="U77" s="329"/>
      <c r="V77" s="329"/>
      <c r="W77" s="329"/>
      <c r="X77" s="329"/>
      <c r="Y77" s="329"/>
    </row>
    <row r="78" spans="3:27" x14ac:dyDescent="0.25">
      <c r="D78" s="32"/>
      <c r="E78" s="28"/>
      <c r="F78" s="28"/>
      <c r="G78" s="28"/>
    </row>
    <row r="79" spans="3:27" x14ac:dyDescent="0.25">
      <c r="D79" s="32"/>
      <c r="E79" s="28" t="s">
        <v>243</v>
      </c>
      <c r="F79" s="28"/>
      <c r="G79" s="28" t="s">
        <v>167</v>
      </c>
      <c r="J79" s="145">
        <f>SUMIF($J$38:$Y$38, J$38, $J$73:$Y$73) / SUMIF($J$38:$Y$38, J$38, $J$71:$Y$71)</f>
        <v>0.62292394694913522</v>
      </c>
      <c r="K79" s="145">
        <f t="shared" ref="K79:M79" si="8">SUMIF($J$38:$Y$38, K$38, $J$73:$Y$73) / SUMIF($J$38:$Y$38, K$38, $J$71:$Y$71)</f>
        <v>0.62292394694913522</v>
      </c>
      <c r="L79" s="145">
        <f t="shared" si="8"/>
        <v>0.68599446052627644</v>
      </c>
      <c r="M79" s="145">
        <f t="shared" si="8"/>
        <v>0.68599446052627644</v>
      </c>
      <c r="N79" s="329"/>
      <c r="O79" s="329"/>
      <c r="P79" s="329"/>
      <c r="Q79" s="329"/>
      <c r="R79" s="329"/>
      <c r="S79" s="329"/>
      <c r="T79" s="329"/>
      <c r="U79" s="329"/>
      <c r="V79" s="329"/>
      <c r="W79" s="329"/>
      <c r="X79" s="329"/>
      <c r="Y79" s="329"/>
    </row>
    <row r="80" spans="3:27" x14ac:dyDescent="0.25">
      <c r="D80" s="32"/>
      <c r="E80" s="28"/>
      <c r="F80" s="28"/>
      <c r="G80" s="28"/>
    </row>
    <row r="81" spans="2:27" x14ac:dyDescent="0.25">
      <c r="D81" s="32" t="s">
        <v>1014</v>
      </c>
      <c r="E81" s="28"/>
      <c r="F81" s="28"/>
      <c r="G81" s="28"/>
    </row>
    <row r="82" spans="2:27" x14ac:dyDescent="0.25">
      <c r="D82" s="28"/>
      <c r="E82" s="28"/>
      <c r="F82" s="28"/>
      <c r="G82" s="28"/>
    </row>
    <row r="83" spans="2:27" x14ac:dyDescent="0.25">
      <c r="D83" s="28"/>
      <c r="E83" s="28" t="s">
        <v>241</v>
      </c>
      <c r="F83" s="28"/>
      <c r="G83" s="28" t="s">
        <v>167</v>
      </c>
      <c r="J83" s="145">
        <f>IF(J$38 = 0, J62, J77)</f>
        <v>0.37271683370129166</v>
      </c>
      <c r="K83" s="145">
        <f t="shared" ref="K83:Y83" si="9">IF(K$38 = 0, K62, K77)</f>
        <v>0.37271683370129166</v>
      </c>
      <c r="L83" s="145">
        <f t="shared" si="9"/>
        <v>0.4189565529864363</v>
      </c>
      <c r="M83" s="145">
        <f t="shared" si="9"/>
        <v>0.4189565529864363</v>
      </c>
      <c r="N83" s="145">
        <f t="shared" si="9"/>
        <v>0.56987657688656024</v>
      </c>
      <c r="O83" s="145">
        <f t="shared" si="9"/>
        <v>0.72085080315425287</v>
      </c>
      <c r="P83" s="145">
        <f t="shared" si="9"/>
        <v>0.69256761043616277</v>
      </c>
      <c r="Q83" s="145">
        <f t="shared" si="9"/>
        <v>0.48242330362199853</v>
      </c>
      <c r="R83" s="145">
        <f t="shared" si="9"/>
        <v>0</v>
      </c>
      <c r="S83" s="145">
        <f t="shared" si="9"/>
        <v>0</v>
      </c>
      <c r="T83" s="145">
        <f t="shared" si="9"/>
        <v>0</v>
      </c>
      <c r="U83" s="145">
        <f t="shared" si="9"/>
        <v>0</v>
      </c>
      <c r="V83" s="145">
        <f t="shared" si="9"/>
        <v>0</v>
      </c>
      <c r="W83" s="145">
        <f t="shared" si="9"/>
        <v>0</v>
      </c>
      <c r="X83" s="145">
        <f t="shared" si="9"/>
        <v>0</v>
      </c>
      <c r="Y83" s="145">
        <f t="shared" si="9"/>
        <v>0</v>
      </c>
    </row>
    <row r="84" spans="2:27" x14ac:dyDescent="0.25">
      <c r="D84" s="28"/>
      <c r="E84" s="28"/>
      <c r="F84" s="28"/>
      <c r="G84" s="28"/>
    </row>
    <row r="85" spans="2:27" x14ac:dyDescent="0.25">
      <c r="D85" s="28"/>
      <c r="E85" s="28" t="s">
        <v>243</v>
      </c>
      <c r="F85" s="28"/>
      <c r="G85" s="28" t="s">
        <v>167</v>
      </c>
      <c r="J85" s="145">
        <f>IF(J38 = 0, J63, J79)</f>
        <v>0.62292394694913522</v>
      </c>
      <c r="K85" s="145">
        <f t="shared" ref="K85:Y85" si="10">IF(K38 = 0, K63, K79)</f>
        <v>0.62292394694913522</v>
      </c>
      <c r="L85" s="145">
        <f t="shared" si="10"/>
        <v>0.68599446052627644</v>
      </c>
      <c r="M85" s="145">
        <f t="shared" si="10"/>
        <v>0.68599446052627644</v>
      </c>
      <c r="N85" s="145">
        <f t="shared" si="10"/>
        <v>0.8069098514633426</v>
      </c>
      <c r="O85" s="145">
        <f t="shared" si="10"/>
        <v>0.81068748749169472</v>
      </c>
      <c r="P85" s="145">
        <f t="shared" si="10"/>
        <v>0.82093800267353068</v>
      </c>
      <c r="Q85" s="145">
        <f t="shared" si="10"/>
        <v>0.84222288633177023</v>
      </c>
      <c r="R85" s="145">
        <f t="shared" si="10"/>
        <v>0</v>
      </c>
      <c r="S85" s="145">
        <f t="shared" si="10"/>
        <v>0</v>
      </c>
      <c r="T85" s="145">
        <f t="shared" si="10"/>
        <v>0</v>
      </c>
      <c r="U85" s="145">
        <f t="shared" si="10"/>
        <v>0</v>
      </c>
      <c r="V85" s="145">
        <f t="shared" si="10"/>
        <v>0</v>
      </c>
      <c r="W85" s="145">
        <f t="shared" si="10"/>
        <v>0</v>
      </c>
      <c r="X85" s="145">
        <f t="shared" si="10"/>
        <v>0</v>
      </c>
      <c r="Y85" s="145">
        <f t="shared" si="10"/>
        <v>0</v>
      </c>
    </row>
    <row r="87" spans="2:27" x14ac:dyDescent="0.25">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25">
      <c r="E89" s="28" t="s">
        <v>472</v>
      </c>
      <c r="G89" s="28" t="s">
        <v>283</v>
      </c>
      <c r="J89" s="89">
        <f t="shared" ref="J89:Y89" si="11">IF(AND(J62 = 0, J63 = 0), 1, J63 / J62)</f>
        <v>1.9165523428393754</v>
      </c>
      <c r="K89" s="89">
        <f t="shared" si="11"/>
        <v>0</v>
      </c>
      <c r="L89" s="89">
        <f t="shared" si="11"/>
        <v>1.6935453111111198</v>
      </c>
      <c r="M89" s="89">
        <f t="shared" si="11"/>
        <v>0</v>
      </c>
      <c r="N89" s="89">
        <f t="shared" si="11"/>
        <v>1.4159379139107278</v>
      </c>
      <c r="O89" s="89">
        <f t="shared" si="11"/>
        <v>1.1246259058661519</v>
      </c>
      <c r="P89" s="89">
        <f t="shared" si="11"/>
        <v>1.1853543109769793</v>
      </c>
      <c r="Q89" s="89">
        <f t="shared" si="11"/>
        <v>1.7458171692959752</v>
      </c>
      <c r="R89" s="89">
        <f t="shared" si="11"/>
        <v>1</v>
      </c>
      <c r="S89" s="89">
        <f t="shared" si="11"/>
        <v>1</v>
      </c>
      <c r="T89" s="89">
        <f t="shared" si="11"/>
        <v>1</v>
      </c>
      <c r="U89" s="89">
        <f t="shared" si="11"/>
        <v>1</v>
      </c>
      <c r="V89" s="89">
        <f t="shared" si="11"/>
        <v>1</v>
      </c>
      <c r="W89" s="89">
        <f t="shared" si="11"/>
        <v>1</v>
      </c>
      <c r="X89" s="89">
        <f t="shared" si="11"/>
        <v>1</v>
      </c>
      <c r="Y89" s="89">
        <f t="shared" si="11"/>
        <v>1</v>
      </c>
    </row>
    <row r="90" spans="2:27" x14ac:dyDescent="0.25">
      <c r="D90" s="32"/>
      <c r="J90" s="120"/>
      <c r="K90" s="120"/>
      <c r="L90" s="120"/>
      <c r="M90" s="120"/>
      <c r="N90" s="120"/>
      <c r="O90" s="120"/>
      <c r="P90" s="120"/>
      <c r="Q90" s="120"/>
      <c r="R90" s="120"/>
      <c r="S90" s="120"/>
      <c r="T90" s="120"/>
      <c r="U90" s="120"/>
      <c r="V90" s="120"/>
      <c r="W90" s="120"/>
      <c r="X90" s="120"/>
      <c r="Y90" s="120"/>
    </row>
    <row r="91" spans="2:27" x14ac:dyDescent="0.25">
      <c r="E91" s="28" t="s">
        <v>1015</v>
      </c>
      <c r="G91" s="28" t="s">
        <v>283</v>
      </c>
      <c r="I91" s="333" t="s">
        <v>154</v>
      </c>
      <c r="J91" s="89">
        <f>IF(AND(J83 = 0, J85 = 0), 1, J85 / J83)</f>
        <v>1.6713061783744609</v>
      </c>
      <c r="K91" s="89">
        <f t="shared" ref="K91:Y91" si="12">IF(AND(K83 = 0, K85 = 0), 1, K85 / K83)</f>
        <v>1.6713061783744609</v>
      </c>
      <c r="L91" s="89">
        <f t="shared" si="12"/>
        <v>1.6373880671786163</v>
      </c>
      <c r="M91" s="89">
        <f t="shared" si="12"/>
        <v>1.6373880671786163</v>
      </c>
      <c r="N91" s="89">
        <f t="shared" si="12"/>
        <v>1.4159379139107278</v>
      </c>
      <c r="O91" s="89">
        <f t="shared" si="12"/>
        <v>1.1246259058661519</v>
      </c>
      <c r="P91" s="89">
        <f t="shared" si="12"/>
        <v>1.1853543109769793</v>
      </c>
      <c r="Q91" s="89">
        <f t="shared" si="12"/>
        <v>1.7458171692959752</v>
      </c>
      <c r="R91" s="89">
        <f t="shared" si="12"/>
        <v>1</v>
      </c>
      <c r="S91" s="89">
        <f t="shared" si="12"/>
        <v>1</v>
      </c>
      <c r="T91" s="89">
        <f t="shared" si="12"/>
        <v>1</v>
      </c>
      <c r="U91" s="89">
        <f t="shared" si="12"/>
        <v>1</v>
      </c>
      <c r="V91" s="89">
        <f t="shared" si="12"/>
        <v>1</v>
      </c>
      <c r="W91" s="89">
        <f t="shared" si="12"/>
        <v>1</v>
      </c>
      <c r="X91" s="89">
        <f t="shared" si="12"/>
        <v>1</v>
      </c>
      <c r="Y91" s="89">
        <f t="shared" si="12"/>
        <v>1</v>
      </c>
      <c r="Z91" s="89"/>
      <c r="AA91" s="333" t="s">
        <v>1020</v>
      </c>
    </row>
    <row r="92" spans="2:27" x14ac:dyDescent="0.25">
      <c r="D92" s="32"/>
      <c r="J92" s="120"/>
      <c r="K92" s="120"/>
      <c r="L92" s="120"/>
      <c r="M92" s="120"/>
      <c r="N92" s="120"/>
      <c r="O92" s="120"/>
      <c r="P92" s="120"/>
      <c r="Q92" s="120"/>
      <c r="R92" s="120"/>
      <c r="S92" s="120"/>
      <c r="T92" s="120"/>
      <c r="U92" s="120"/>
      <c r="V92" s="120"/>
      <c r="W92" s="120"/>
      <c r="X92" s="120"/>
      <c r="Y92" s="120"/>
    </row>
    <row r="93" spans="2:27" x14ac:dyDescent="0.25">
      <c r="E93" s="28" t="s">
        <v>473</v>
      </c>
      <c r="G93" s="28" t="s">
        <v>283</v>
      </c>
      <c r="I93" t="s">
        <v>154</v>
      </c>
      <c r="J93" s="89">
        <f>IF(OR(J54 = 0, J85 = 0), 1, J91 / J54)</f>
        <v>1.3949255088816732</v>
      </c>
      <c r="K93" s="89">
        <f t="shared" ref="K93:Y93" si="13">IF(OR(K54 = 0, K85 = 0), 1, K91 / K54)</f>
        <v>1.3949255088816732</v>
      </c>
      <c r="L93" s="89">
        <f t="shared" si="13"/>
        <v>1.456712997229094</v>
      </c>
      <c r="M93" s="89">
        <f t="shared" si="13"/>
        <v>1.456712997229094</v>
      </c>
      <c r="N93" s="89">
        <f t="shared" si="13"/>
        <v>1.2996068904175893</v>
      </c>
      <c r="O93" s="89">
        <f t="shared" si="13"/>
        <v>1.1061957642466493</v>
      </c>
      <c r="P93" s="89">
        <f t="shared" si="13"/>
        <v>1.1324965524310688</v>
      </c>
      <c r="Q93" s="89">
        <f t="shared" si="13"/>
        <v>1.1046943267579403</v>
      </c>
      <c r="R93" s="89">
        <f t="shared" si="13"/>
        <v>1</v>
      </c>
      <c r="S93" s="89">
        <f t="shared" si="13"/>
        <v>1</v>
      </c>
      <c r="T93" s="89">
        <f t="shared" si="13"/>
        <v>1</v>
      </c>
      <c r="U93" s="89">
        <f t="shared" si="13"/>
        <v>1</v>
      </c>
      <c r="V93" s="89">
        <f t="shared" si="13"/>
        <v>1</v>
      </c>
      <c r="W93" s="89">
        <f t="shared" si="13"/>
        <v>1</v>
      </c>
      <c r="X93" s="89">
        <f t="shared" si="13"/>
        <v>1</v>
      </c>
      <c r="Y93" s="89">
        <f t="shared" si="13"/>
        <v>1</v>
      </c>
      <c r="AA93" t="s">
        <v>474</v>
      </c>
    </row>
    <row r="94" spans="2:27" x14ac:dyDescent="0.25">
      <c r="F94" s="28"/>
      <c r="G94" s="28"/>
    </row>
    <row r="95" spans="2:27" x14ac:dyDescent="0.25">
      <c r="B95" s="30" t="s">
        <v>475</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25">
      <c r="C97" s="29" t="s">
        <v>477</v>
      </c>
      <c r="I97" t="s">
        <v>154</v>
      </c>
      <c r="AA97" t="s">
        <v>476</v>
      </c>
    </row>
    <row r="98" spans="3:27" x14ac:dyDescent="0.25">
      <c r="C98" s="29" t="s">
        <v>478</v>
      </c>
    </row>
    <row r="100" spans="3:27" x14ac:dyDescent="0.25">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25">
      <c r="E102" s="32" t="s">
        <v>479</v>
      </c>
      <c r="G102" s="28"/>
    </row>
    <row r="103" spans="3:27" x14ac:dyDescent="0.25">
      <c r="F103" s="78" t="s">
        <v>294</v>
      </c>
      <c r="G103" s="64" t="s">
        <v>167</v>
      </c>
      <c r="H103" s="107">
        <f>'Inputs by network level'!K40</f>
        <v>0.51</v>
      </c>
    </row>
    <row r="104" spans="3:27" x14ac:dyDescent="0.25">
      <c r="F104" s="72" t="s">
        <v>295</v>
      </c>
      <c r="G104" s="28" t="s">
        <v>167</v>
      </c>
      <c r="H104" s="25">
        <f>'Inputs by network level'!K41</f>
        <v>0.33</v>
      </c>
    </row>
    <row r="105" spans="3:27" x14ac:dyDescent="0.25">
      <c r="F105" s="80" t="s">
        <v>257</v>
      </c>
      <c r="G105" s="67" t="s">
        <v>167</v>
      </c>
      <c r="H105" s="141">
        <f>'Inputs by network level'!K42</f>
        <v>0.16</v>
      </c>
    </row>
    <row r="106" spans="3:27" x14ac:dyDescent="0.25">
      <c r="F106" s="78" t="s">
        <v>296</v>
      </c>
      <c r="G106" s="64" t="s">
        <v>167</v>
      </c>
      <c r="H106" s="107">
        <f>'Inputs by network level'!K43</f>
        <v>0.41</v>
      </c>
    </row>
    <row r="107" spans="3:27" x14ac:dyDescent="0.25">
      <c r="F107" s="72" t="s">
        <v>305</v>
      </c>
      <c r="G107" s="28" t="s">
        <v>167</v>
      </c>
      <c r="H107" s="156">
        <f>SUM(H103:H104) - H106</f>
        <v>0.4300000000000001</v>
      </c>
    </row>
    <row r="108" spans="3:27" x14ac:dyDescent="0.25">
      <c r="F108" s="80" t="s">
        <v>257</v>
      </c>
      <c r="G108" s="67" t="s">
        <v>167</v>
      </c>
      <c r="H108" s="157">
        <f>H105</f>
        <v>0.16</v>
      </c>
    </row>
    <row r="109" spans="3:27" x14ac:dyDescent="0.25">
      <c r="F109" s="29"/>
      <c r="G109" s="28"/>
    </row>
    <row r="110" spans="3:27" x14ac:dyDescent="0.25">
      <c r="E110" s="32" t="s">
        <v>480</v>
      </c>
      <c r="G110" s="28"/>
    </row>
    <row r="111" spans="3:27" x14ac:dyDescent="0.25">
      <c r="F111" s="78" t="s">
        <v>465</v>
      </c>
      <c r="G111" s="64" t="s">
        <v>167</v>
      </c>
      <c r="H111" s="107">
        <f>'Inputs by network level'!L40</f>
        <v>0</v>
      </c>
    </row>
    <row r="112" spans="3:27" x14ac:dyDescent="0.25">
      <c r="F112" s="72" t="s">
        <v>466</v>
      </c>
      <c r="G112" s="28" t="s">
        <v>167</v>
      </c>
      <c r="H112" s="25">
        <f>'Inputs by network level'!L41</f>
        <v>0</v>
      </c>
    </row>
    <row r="113" spans="5:8" x14ac:dyDescent="0.25">
      <c r="F113" s="80" t="s">
        <v>257</v>
      </c>
      <c r="G113" s="67" t="s">
        <v>167</v>
      </c>
      <c r="H113" s="141">
        <f>'Inputs by network level'!L42</f>
        <v>0</v>
      </c>
    </row>
    <row r="114" spans="5:8" x14ac:dyDescent="0.25">
      <c r="F114" s="78" t="s">
        <v>296</v>
      </c>
      <c r="G114" s="64" t="s">
        <v>167</v>
      </c>
      <c r="H114" s="107">
        <f>'Inputs by network level'!L43</f>
        <v>0</v>
      </c>
    </row>
    <row r="115" spans="5:8" x14ac:dyDescent="0.25">
      <c r="F115" s="72" t="s">
        <v>305</v>
      </c>
      <c r="G115" s="28" t="s">
        <v>167</v>
      </c>
      <c r="H115" s="156">
        <f>SUM(H111:H112) - H114</f>
        <v>0</v>
      </c>
    </row>
    <row r="116" spans="5:8" x14ac:dyDescent="0.25">
      <c r="F116" s="80" t="s">
        <v>257</v>
      </c>
      <c r="G116" s="67" t="s">
        <v>167</v>
      </c>
      <c r="H116" s="157">
        <f>H113</f>
        <v>0</v>
      </c>
    </row>
    <row r="117" spans="5:8" x14ac:dyDescent="0.25">
      <c r="F117" s="29"/>
      <c r="G117" s="28"/>
    </row>
    <row r="118" spans="5:8" x14ac:dyDescent="0.25">
      <c r="E118" s="32" t="s">
        <v>481</v>
      </c>
      <c r="G118" s="28"/>
    </row>
    <row r="119" spans="5:8" x14ac:dyDescent="0.25">
      <c r="F119" s="78" t="s">
        <v>465</v>
      </c>
      <c r="G119" s="64" t="s">
        <v>167</v>
      </c>
      <c r="H119" s="107">
        <f>'Inputs by network level'!M40</f>
        <v>0</v>
      </c>
    </row>
    <row r="120" spans="5:8" x14ac:dyDescent="0.25">
      <c r="F120" s="72" t="s">
        <v>466</v>
      </c>
      <c r="G120" s="28" t="s">
        <v>167</v>
      </c>
      <c r="H120" s="25">
        <f>'Inputs by network level'!M41</f>
        <v>0</v>
      </c>
    </row>
    <row r="121" spans="5:8" x14ac:dyDescent="0.25">
      <c r="F121" s="80" t="s">
        <v>257</v>
      </c>
      <c r="G121" s="67" t="s">
        <v>167</v>
      </c>
      <c r="H121" s="141">
        <f>'Inputs by network level'!M42</f>
        <v>0</v>
      </c>
    </row>
    <row r="122" spans="5:8" x14ac:dyDescent="0.25">
      <c r="F122" s="78" t="s">
        <v>296</v>
      </c>
      <c r="G122" s="64" t="s">
        <v>167</v>
      </c>
      <c r="H122" s="107">
        <f>'Inputs by network level'!M43</f>
        <v>0</v>
      </c>
    </row>
    <row r="123" spans="5:8" x14ac:dyDescent="0.25">
      <c r="F123" s="72" t="s">
        <v>305</v>
      </c>
      <c r="G123" s="28" t="s">
        <v>167</v>
      </c>
      <c r="H123" s="156">
        <f>SUM(H119:H120) - H122</f>
        <v>0</v>
      </c>
    </row>
    <row r="124" spans="5:8" x14ac:dyDescent="0.25">
      <c r="F124" s="80" t="s">
        <v>257</v>
      </c>
      <c r="G124" s="67" t="s">
        <v>167</v>
      </c>
      <c r="H124" s="157">
        <f>H121</f>
        <v>0</v>
      </c>
    </row>
    <row r="125" spans="5:8" x14ac:dyDescent="0.25">
      <c r="F125" s="29"/>
      <c r="G125" s="28"/>
    </row>
    <row r="126" spans="5:8" x14ac:dyDescent="0.25">
      <c r="E126" s="32" t="s">
        <v>482</v>
      </c>
      <c r="G126" s="28"/>
    </row>
    <row r="127" spans="5:8" x14ac:dyDescent="0.25">
      <c r="F127" s="78" t="s">
        <v>465</v>
      </c>
      <c r="G127" s="64" t="s">
        <v>167</v>
      </c>
      <c r="H127" s="107">
        <f>'Inputs by network level'!N40</f>
        <v>0.46</v>
      </c>
    </row>
    <row r="128" spans="5:8" x14ac:dyDescent="0.25">
      <c r="F128" s="72" t="s">
        <v>466</v>
      </c>
      <c r="G128" s="28" t="s">
        <v>167</v>
      </c>
      <c r="H128" s="25">
        <f>'Inputs by network level'!N41</f>
        <v>0.35</v>
      </c>
    </row>
    <row r="129" spans="5:8" x14ac:dyDescent="0.25">
      <c r="F129" s="80" t="s">
        <v>257</v>
      </c>
      <c r="G129" s="67" t="s">
        <v>167</v>
      </c>
      <c r="H129" s="141">
        <f>'Inputs by network level'!N42</f>
        <v>0.19</v>
      </c>
    </row>
    <row r="130" spans="5:8" x14ac:dyDescent="0.25">
      <c r="F130" s="78" t="s">
        <v>296</v>
      </c>
      <c r="G130" s="64" t="s">
        <v>167</v>
      </c>
      <c r="H130" s="107">
        <f>'Inputs by network level'!N43</f>
        <v>0.33</v>
      </c>
    </row>
    <row r="131" spans="5:8" x14ac:dyDescent="0.25">
      <c r="F131" s="72" t="s">
        <v>305</v>
      </c>
      <c r="G131" s="28" t="s">
        <v>167</v>
      </c>
      <c r="H131" s="156">
        <f>SUM(H127:H128) - H130</f>
        <v>0.48000000000000004</v>
      </c>
    </row>
    <row r="132" spans="5:8" x14ac:dyDescent="0.25">
      <c r="F132" s="80" t="s">
        <v>257</v>
      </c>
      <c r="G132" s="67" t="s">
        <v>167</v>
      </c>
      <c r="H132" s="157">
        <f>H129</f>
        <v>0.19</v>
      </c>
    </row>
    <row r="133" spans="5:8" x14ac:dyDescent="0.25">
      <c r="F133" s="29"/>
      <c r="G133" s="28"/>
    </row>
    <row r="134" spans="5:8" x14ac:dyDescent="0.25">
      <c r="E134" s="32" t="s">
        <v>483</v>
      </c>
      <c r="G134" s="28"/>
    </row>
    <row r="135" spans="5:8" x14ac:dyDescent="0.25">
      <c r="F135" s="78" t="s">
        <v>465</v>
      </c>
      <c r="G135" s="64" t="s">
        <v>167</v>
      </c>
      <c r="H135" s="107">
        <f>'Inputs by network level'!O40</f>
        <v>0.46</v>
      </c>
    </row>
    <row r="136" spans="5:8" x14ac:dyDescent="0.25">
      <c r="F136" s="72" t="s">
        <v>466</v>
      </c>
      <c r="G136" s="28" t="s">
        <v>167</v>
      </c>
      <c r="H136" s="25">
        <f>'Inputs by network level'!O41</f>
        <v>0.35</v>
      </c>
    </row>
    <row r="137" spans="5:8" x14ac:dyDescent="0.25">
      <c r="F137" s="80" t="s">
        <v>257</v>
      </c>
      <c r="G137" s="67" t="s">
        <v>167</v>
      </c>
      <c r="H137" s="141">
        <f>'Inputs by network level'!O42</f>
        <v>0.19</v>
      </c>
    </row>
    <row r="138" spans="5:8" x14ac:dyDescent="0.25">
      <c r="F138" s="78" t="s">
        <v>296</v>
      </c>
      <c r="G138" s="64" t="s">
        <v>167</v>
      </c>
      <c r="H138" s="107">
        <f>'Inputs by network level'!O43</f>
        <v>0.33</v>
      </c>
    </row>
    <row r="139" spans="5:8" x14ac:dyDescent="0.25">
      <c r="F139" s="72" t="s">
        <v>305</v>
      </c>
      <c r="G139" s="28" t="s">
        <v>167</v>
      </c>
      <c r="H139" s="156">
        <f>SUM(H135:H136) - H138</f>
        <v>0.48000000000000004</v>
      </c>
    </row>
    <row r="140" spans="5:8" x14ac:dyDescent="0.25">
      <c r="F140" s="80" t="s">
        <v>257</v>
      </c>
      <c r="G140" s="67" t="s">
        <v>167</v>
      </c>
      <c r="H140" s="157">
        <f>H137</f>
        <v>0.19</v>
      </c>
    </row>
    <row r="141" spans="5:8" x14ac:dyDescent="0.25">
      <c r="F141" s="29"/>
      <c r="G141" s="28"/>
    </row>
    <row r="142" spans="5:8" x14ac:dyDescent="0.25">
      <c r="E142" s="32" t="s">
        <v>484</v>
      </c>
      <c r="G142" s="28"/>
    </row>
    <row r="143" spans="5:8" x14ac:dyDescent="0.25">
      <c r="F143" s="78" t="s">
        <v>465</v>
      </c>
      <c r="G143" s="64" t="s">
        <v>167</v>
      </c>
      <c r="H143" s="107">
        <f>'Inputs by network level'!P40</f>
        <v>0</v>
      </c>
    </row>
    <row r="144" spans="5:8" x14ac:dyDescent="0.25">
      <c r="F144" s="72" t="s">
        <v>466</v>
      </c>
      <c r="G144" s="28" t="s">
        <v>167</v>
      </c>
      <c r="H144" s="25">
        <f>'Inputs by network level'!P41</f>
        <v>0</v>
      </c>
    </row>
    <row r="145" spans="5:8" x14ac:dyDescent="0.25">
      <c r="F145" s="80" t="s">
        <v>257</v>
      </c>
      <c r="G145" s="67" t="s">
        <v>167</v>
      </c>
      <c r="H145" s="141">
        <f>'Inputs by network level'!P42</f>
        <v>0</v>
      </c>
    </row>
    <row r="146" spans="5:8" x14ac:dyDescent="0.25">
      <c r="F146" s="78" t="s">
        <v>296</v>
      </c>
      <c r="G146" s="64" t="s">
        <v>167</v>
      </c>
      <c r="H146" s="107">
        <f>'Inputs by network level'!P43</f>
        <v>0</v>
      </c>
    </row>
    <row r="147" spans="5:8" x14ac:dyDescent="0.25">
      <c r="F147" s="72" t="s">
        <v>305</v>
      </c>
      <c r="G147" s="28" t="s">
        <v>167</v>
      </c>
      <c r="H147" s="156">
        <f>SUM(H143:H144) - H146</f>
        <v>0</v>
      </c>
    </row>
    <row r="148" spans="5:8" x14ac:dyDescent="0.25">
      <c r="F148" s="80" t="s">
        <v>257</v>
      </c>
      <c r="G148" s="67" t="s">
        <v>167</v>
      </c>
      <c r="H148" s="157">
        <f>H145</f>
        <v>0</v>
      </c>
    </row>
    <row r="149" spans="5:8" x14ac:dyDescent="0.25">
      <c r="F149" s="29"/>
      <c r="G149" s="28"/>
    </row>
    <row r="150" spans="5:8" x14ac:dyDescent="0.25">
      <c r="E150" s="32" t="s">
        <v>485</v>
      </c>
      <c r="G150" s="28"/>
    </row>
    <row r="151" spans="5:8" x14ac:dyDescent="0.25">
      <c r="F151" s="78" t="s">
        <v>465</v>
      </c>
      <c r="G151" s="64" t="s">
        <v>167</v>
      </c>
      <c r="H151" s="107">
        <f>'Inputs by network level'!Q40</f>
        <v>0.46</v>
      </c>
    </row>
    <row r="152" spans="5:8" x14ac:dyDescent="0.25">
      <c r="F152" s="72" t="s">
        <v>466</v>
      </c>
      <c r="G152" s="28" t="s">
        <v>167</v>
      </c>
      <c r="H152" s="25">
        <f>'Inputs by network level'!Q41</f>
        <v>0.35</v>
      </c>
    </row>
    <row r="153" spans="5:8" x14ac:dyDescent="0.25">
      <c r="F153" s="80" t="s">
        <v>257</v>
      </c>
      <c r="G153" s="67" t="s">
        <v>167</v>
      </c>
      <c r="H153" s="141">
        <f>'Inputs by network level'!Q42</f>
        <v>0.19</v>
      </c>
    </row>
    <row r="154" spans="5:8" x14ac:dyDescent="0.25">
      <c r="F154" s="78" t="s">
        <v>296</v>
      </c>
      <c r="G154" s="64" t="s">
        <v>167</v>
      </c>
      <c r="H154" s="107">
        <f>'Inputs by network level'!Q43</f>
        <v>0.33</v>
      </c>
    </row>
    <row r="155" spans="5:8" x14ac:dyDescent="0.25">
      <c r="F155" s="72" t="s">
        <v>305</v>
      </c>
      <c r="G155" s="28" t="s">
        <v>167</v>
      </c>
      <c r="H155" s="156">
        <f>SUM(H151:H152) - H154</f>
        <v>0.48000000000000004</v>
      </c>
    </row>
    <row r="156" spans="5:8" x14ac:dyDescent="0.25">
      <c r="F156" s="80" t="s">
        <v>257</v>
      </c>
      <c r="G156" s="67" t="s">
        <v>167</v>
      </c>
      <c r="H156" s="157">
        <f>H153</f>
        <v>0.19</v>
      </c>
    </row>
    <row r="157" spans="5:8" x14ac:dyDescent="0.25">
      <c r="F157" s="29"/>
      <c r="G157" s="28"/>
    </row>
    <row r="158" spans="5:8" x14ac:dyDescent="0.25">
      <c r="E158" s="32" t="s">
        <v>486</v>
      </c>
      <c r="G158" s="28"/>
    </row>
    <row r="159" spans="5:8" x14ac:dyDescent="0.25">
      <c r="F159" s="78" t="s">
        <v>465</v>
      </c>
      <c r="G159" s="64" t="s">
        <v>167</v>
      </c>
      <c r="H159" s="107">
        <f>'Inputs by network level'!R40</f>
        <v>0.46</v>
      </c>
    </row>
    <row r="160" spans="5:8" x14ac:dyDescent="0.25">
      <c r="F160" s="72" t="s">
        <v>466</v>
      </c>
      <c r="G160" s="28" t="s">
        <v>167</v>
      </c>
      <c r="H160" s="25">
        <f>'Inputs by network level'!R41</f>
        <v>0.35</v>
      </c>
    </row>
    <row r="161" spans="3:27" x14ac:dyDescent="0.25">
      <c r="F161" s="80" t="s">
        <v>257</v>
      </c>
      <c r="G161" s="67" t="s">
        <v>167</v>
      </c>
      <c r="H161" s="141">
        <f>'Inputs by network level'!R42</f>
        <v>0.19</v>
      </c>
    </row>
    <row r="162" spans="3:27" x14ac:dyDescent="0.25">
      <c r="F162" s="78" t="s">
        <v>296</v>
      </c>
      <c r="G162" s="64" t="s">
        <v>167</v>
      </c>
      <c r="H162" s="107">
        <f>'Inputs by network level'!R43</f>
        <v>0.33</v>
      </c>
    </row>
    <row r="163" spans="3:27" x14ac:dyDescent="0.25">
      <c r="F163" s="72" t="s">
        <v>305</v>
      </c>
      <c r="G163" s="28" t="s">
        <v>167</v>
      </c>
      <c r="H163" s="156">
        <f>SUM(H159:H160) - H162</f>
        <v>0.48000000000000004</v>
      </c>
    </row>
    <row r="164" spans="3:27" x14ac:dyDescent="0.25">
      <c r="F164" s="80" t="s">
        <v>257</v>
      </c>
      <c r="G164" s="67" t="s">
        <v>167</v>
      </c>
      <c r="H164" s="157">
        <f>H161</f>
        <v>0.19</v>
      </c>
    </row>
    <row r="165" spans="3:27" x14ac:dyDescent="0.25">
      <c r="F165" s="29"/>
      <c r="G165" s="28"/>
    </row>
    <row r="166" spans="3:27" x14ac:dyDescent="0.25">
      <c r="E166" s="32" t="s">
        <v>487</v>
      </c>
      <c r="G166" s="28"/>
    </row>
    <row r="167" spans="3:27" x14ac:dyDescent="0.25">
      <c r="F167" s="78" t="s">
        <v>465</v>
      </c>
      <c r="G167" s="64" t="s">
        <v>167</v>
      </c>
      <c r="H167" s="107">
        <f>'Inputs by network level'!S40</f>
        <v>0.46</v>
      </c>
    </row>
    <row r="168" spans="3:27" x14ac:dyDescent="0.25">
      <c r="F168" s="72" t="s">
        <v>466</v>
      </c>
      <c r="G168" s="28" t="s">
        <v>167</v>
      </c>
      <c r="H168" s="25">
        <f>'Inputs by network level'!S41</f>
        <v>0.35</v>
      </c>
    </row>
    <row r="169" spans="3:27" x14ac:dyDescent="0.25">
      <c r="F169" s="80" t="s">
        <v>257</v>
      </c>
      <c r="G169" s="67" t="s">
        <v>167</v>
      </c>
      <c r="H169" s="141">
        <f>'Inputs by network level'!S42</f>
        <v>0.19</v>
      </c>
    </row>
    <row r="170" spans="3:27" x14ac:dyDescent="0.25">
      <c r="F170" s="78" t="s">
        <v>296</v>
      </c>
      <c r="G170" s="64" t="s">
        <v>167</v>
      </c>
      <c r="H170" s="107">
        <f>'Inputs by network level'!S43</f>
        <v>0.33</v>
      </c>
    </row>
    <row r="171" spans="3:27" x14ac:dyDescent="0.25">
      <c r="F171" s="72" t="s">
        <v>305</v>
      </c>
      <c r="G171" s="28" t="s">
        <v>167</v>
      </c>
      <c r="H171" s="156">
        <f>SUM(H167:H168) - H170</f>
        <v>0.48000000000000004</v>
      </c>
    </row>
    <row r="172" spans="3:27" x14ac:dyDescent="0.25">
      <c r="F172" s="80" t="s">
        <v>257</v>
      </c>
      <c r="G172" s="67" t="s">
        <v>167</v>
      </c>
      <c r="H172" s="157">
        <f>H169</f>
        <v>0.19</v>
      </c>
    </row>
    <row r="173" spans="3:27" x14ac:dyDescent="0.25">
      <c r="E173" s="29"/>
      <c r="F173" s="28"/>
      <c r="G173" s="28"/>
    </row>
    <row r="174" spans="3:27" x14ac:dyDescent="0.25">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25">
      <c r="E176" s="32" t="s">
        <v>479</v>
      </c>
      <c r="G176" s="28"/>
    </row>
    <row r="177" spans="5:25" x14ac:dyDescent="0.25">
      <c r="E177" s="29"/>
      <c r="F177" s="78" t="s">
        <v>465</v>
      </c>
      <c r="G177" s="64" t="s">
        <v>167</v>
      </c>
      <c r="H177" s="107"/>
      <c r="I177" s="23"/>
      <c r="J177" s="154">
        <f t="shared" ref="J177:K177" si="14">IF(J$20, $H106, $H103)</f>
        <v>0.51</v>
      </c>
      <c r="K177" s="154">
        <f t="shared" si="14"/>
        <v>0.51</v>
      </c>
      <c r="L177" s="154">
        <f t="shared" ref="L177:M177" si="15">IF(L$20, $H106, $H103)</f>
        <v>0.51</v>
      </c>
      <c r="M177" s="154">
        <f t="shared" si="15"/>
        <v>0.51</v>
      </c>
      <c r="N177" s="154">
        <f t="shared" ref="N177:P177" si="16">IF(N$20, $H106, $H103)</f>
        <v>0.51</v>
      </c>
      <c r="O177" s="154">
        <f t="shared" si="16"/>
        <v>0.51</v>
      </c>
      <c r="P177" s="154">
        <f t="shared" si="16"/>
        <v>0.51</v>
      </c>
      <c r="Q177" s="154">
        <f t="shared" ref="Q177:S177" si="17">IF(Q$20, $H106, $H103)</f>
        <v>0.41</v>
      </c>
      <c r="R177" s="154">
        <f t="shared" si="17"/>
        <v>0.51</v>
      </c>
      <c r="S177" s="154">
        <f t="shared" si="17"/>
        <v>0.51</v>
      </c>
      <c r="T177" s="154">
        <f t="shared" ref="T177:U177" si="18">IF(T$20, $H106, $H103)</f>
        <v>0.51</v>
      </c>
      <c r="U177" s="154">
        <f t="shared" si="18"/>
        <v>0.51</v>
      </c>
      <c r="V177" s="154">
        <f t="shared" ref="V177:W177" si="19">IF(V$20, $H106, $H103)</f>
        <v>0.51</v>
      </c>
      <c r="W177" s="154">
        <f t="shared" si="19"/>
        <v>0.51</v>
      </c>
      <c r="X177" s="154">
        <f t="shared" ref="X177:Y177" si="20">IF(X$20, $H106, $H103)</f>
        <v>0.51</v>
      </c>
      <c r="Y177" s="154">
        <f t="shared" si="20"/>
        <v>0.51</v>
      </c>
    </row>
    <row r="178" spans="5:25" x14ac:dyDescent="0.25">
      <c r="E178" s="29"/>
      <c r="F178" s="72" t="s">
        <v>466</v>
      </c>
      <c r="G178" s="28" t="s">
        <v>167</v>
      </c>
      <c r="H178" s="25"/>
      <c r="J178" s="145">
        <f t="shared" ref="J178:K178" si="21">IF(J$20, $H107, $H104)</f>
        <v>0.33</v>
      </c>
      <c r="K178" s="145">
        <f t="shared" si="21"/>
        <v>0.33</v>
      </c>
      <c r="L178" s="145">
        <f t="shared" ref="L178:M178" si="22">IF(L$20, $H107, $H104)</f>
        <v>0.33</v>
      </c>
      <c r="M178" s="145">
        <f t="shared" si="22"/>
        <v>0.33</v>
      </c>
      <c r="N178" s="145">
        <f t="shared" ref="N178:P178" si="23">IF(N$20, $H107, $H104)</f>
        <v>0.33</v>
      </c>
      <c r="O178" s="145">
        <f t="shared" si="23"/>
        <v>0.33</v>
      </c>
      <c r="P178" s="145">
        <f t="shared" si="23"/>
        <v>0.33</v>
      </c>
      <c r="Q178" s="145">
        <f t="shared" ref="Q178:S178" si="24">IF(Q$20, $H107, $H104)</f>
        <v>0.4300000000000001</v>
      </c>
      <c r="R178" s="145">
        <f t="shared" si="24"/>
        <v>0.33</v>
      </c>
      <c r="S178" s="145">
        <f t="shared" si="24"/>
        <v>0.33</v>
      </c>
      <c r="T178" s="145">
        <f t="shared" ref="T178:U178" si="25">IF(T$20, $H107, $H104)</f>
        <v>0.33</v>
      </c>
      <c r="U178" s="145">
        <f t="shared" si="25"/>
        <v>0.33</v>
      </c>
      <c r="V178" s="145">
        <f t="shared" ref="V178:W178" si="26">IF(V$20, $H107, $H104)</f>
        <v>0.33</v>
      </c>
      <c r="W178" s="145">
        <f t="shared" si="26"/>
        <v>0.33</v>
      </c>
      <c r="X178" s="145">
        <f t="shared" ref="X178:Y178" si="27">IF(X$20, $H107, $H104)</f>
        <v>0.33</v>
      </c>
      <c r="Y178" s="145">
        <f t="shared" si="27"/>
        <v>0.33</v>
      </c>
    </row>
    <row r="179" spans="5:25" x14ac:dyDescent="0.25">
      <c r="E179" s="29"/>
      <c r="F179" s="80" t="s">
        <v>257</v>
      </c>
      <c r="G179" s="67" t="s">
        <v>167</v>
      </c>
      <c r="H179" s="141"/>
      <c r="I179" s="37"/>
      <c r="J179" s="155">
        <f t="shared" ref="J179:K179" si="28">IF(J$20, $H108, $H105)</f>
        <v>0.16</v>
      </c>
      <c r="K179" s="155">
        <f t="shared" si="28"/>
        <v>0.16</v>
      </c>
      <c r="L179" s="155">
        <f t="shared" ref="L179:M179" si="29">IF(L$20, $H108, $H105)</f>
        <v>0.16</v>
      </c>
      <c r="M179" s="155">
        <f t="shared" si="29"/>
        <v>0.16</v>
      </c>
      <c r="N179" s="155">
        <f t="shared" ref="N179:P179" si="30">IF(N$20, $H108, $H105)</f>
        <v>0.16</v>
      </c>
      <c r="O179" s="155">
        <f t="shared" si="30"/>
        <v>0.16</v>
      </c>
      <c r="P179" s="155">
        <f t="shared" si="30"/>
        <v>0.16</v>
      </c>
      <c r="Q179" s="155">
        <f t="shared" ref="Q179:S179" si="31">IF(Q$20, $H108, $H105)</f>
        <v>0.16</v>
      </c>
      <c r="R179" s="155">
        <f t="shared" si="31"/>
        <v>0.16</v>
      </c>
      <c r="S179" s="155">
        <f t="shared" si="31"/>
        <v>0.16</v>
      </c>
      <c r="T179" s="155">
        <f t="shared" ref="T179:U179" si="32">IF(T$20, $H108, $H105)</f>
        <v>0.16</v>
      </c>
      <c r="U179" s="155">
        <f t="shared" si="32"/>
        <v>0.16</v>
      </c>
      <c r="V179" s="155">
        <f t="shared" ref="V179:W179" si="33">IF(V$20, $H108, $H105)</f>
        <v>0.16</v>
      </c>
      <c r="W179" s="155">
        <f t="shared" si="33"/>
        <v>0.16</v>
      </c>
      <c r="X179" s="155">
        <f t="shared" ref="X179:Y179" si="34">IF(X$20, $H108, $H105)</f>
        <v>0.16</v>
      </c>
      <c r="Y179" s="155">
        <f t="shared" si="34"/>
        <v>0.16</v>
      </c>
    </row>
    <row r="180" spans="5:25" x14ac:dyDescent="0.25">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25">
      <c r="E181" s="32" t="s">
        <v>480</v>
      </c>
      <c r="G181" s="28"/>
    </row>
    <row r="182" spans="5:25" x14ac:dyDescent="0.25">
      <c r="E182" s="29"/>
      <c r="F182" s="78" t="s">
        <v>465</v>
      </c>
      <c r="G182" s="64" t="s">
        <v>167</v>
      </c>
      <c r="H182" s="107"/>
      <c r="I182" s="23"/>
      <c r="J182" s="154">
        <f t="shared" ref="J182:K182" si="35">IF(J$20, $H114, $H111)</f>
        <v>0</v>
      </c>
      <c r="K182" s="154">
        <f t="shared" si="35"/>
        <v>0</v>
      </c>
      <c r="L182" s="154">
        <f t="shared" ref="L182:M182" si="36">IF(L$20, $H114, $H111)</f>
        <v>0</v>
      </c>
      <c r="M182" s="154">
        <f t="shared" si="36"/>
        <v>0</v>
      </c>
      <c r="N182" s="154">
        <f t="shared" ref="N182:P182" si="37">IF(N$20, $H114, $H111)</f>
        <v>0</v>
      </c>
      <c r="O182" s="154">
        <f t="shared" si="37"/>
        <v>0</v>
      </c>
      <c r="P182" s="154">
        <f t="shared" si="37"/>
        <v>0</v>
      </c>
      <c r="Q182" s="154">
        <f t="shared" ref="Q182:S182" si="38">IF(Q$20, $H114, $H111)</f>
        <v>0</v>
      </c>
      <c r="R182" s="154">
        <f t="shared" si="38"/>
        <v>0</v>
      </c>
      <c r="S182" s="154">
        <f t="shared" si="38"/>
        <v>0</v>
      </c>
      <c r="T182" s="154">
        <f t="shared" ref="T182:U182" si="39">IF(T$20, $H114, $H111)</f>
        <v>0</v>
      </c>
      <c r="U182" s="154">
        <f t="shared" si="39"/>
        <v>0</v>
      </c>
      <c r="V182" s="154">
        <f t="shared" ref="V182:W182" si="40">IF(V$20, $H114, $H111)</f>
        <v>0</v>
      </c>
      <c r="W182" s="154">
        <f t="shared" si="40"/>
        <v>0</v>
      </c>
      <c r="X182" s="154">
        <f t="shared" ref="X182:Y182" si="41">IF(X$20, $H114, $H111)</f>
        <v>0</v>
      </c>
      <c r="Y182" s="154">
        <f t="shared" si="41"/>
        <v>0</v>
      </c>
    </row>
    <row r="183" spans="5:25" x14ac:dyDescent="0.25">
      <c r="E183" s="29"/>
      <c r="F183" s="72" t="s">
        <v>466</v>
      </c>
      <c r="G183" s="28" t="s">
        <v>167</v>
      </c>
      <c r="H183" s="25"/>
      <c r="J183" s="145">
        <f t="shared" ref="J183:K183" si="42">IF(J$20, $H115, $H112)</f>
        <v>0</v>
      </c>
      <c r="K183" s="145">
        <f t="shared" si="42"/>
        <v>0</v>
      </c>
      <c r="L183" s="145">
        <f t="shared" ref="L183:M183" si="43">IF(L$20, $H115, $H112)</f>
        <v>0</v>
      </c>
      <c r="M183" s="145">
        <f t="shared" si="43"/>
        <v>0</v>
      </c>
      <c r="N183" s="145">
        <f t="shared" ref="N183:P183" si="44">IF(N$20, $H115, $H112)</f>
        <v>0</v>
      </c>
      <c r="O183" s="145">
        <f t="shared" si="44"/>
        <v>0</v>
      </c>
      <c r="P183" s="145">
        <f t="shared" si="44"/>
        <v>0</v>
      </c>
      <c r="Q183" s="145">
        <f t="shared" ref="Q183:S183" si="45">IF(Q$20, $H115, $H112)</f>
        <v>0</v>
      </c>
      <c r="R183" s="145">
        <f t="shared" si="45"/>
        <v>0</v>
      </c>
      <c r="S183" s="145">
        <f t="shared" si="45"/>
        <v>0</v>
      </c>
      <c r="T183" s="145">
        <f t="shared" ref="T183:U183" si="46">IF(T$20, $H115, $H112)</f>
        <v>0</v>
      </c>
      <c r="U183" s="145">
        <f t="shared" si="46"/>
        <v>0</v>
      </c>
      <c r="V183" s="145">
        <f t="shared" ref="V183:W183" si="47">IF(V$20, $H115, $H112)</f>
        <v>0</v>
      </c>
      <c r="W183" s="145">
        <f t="shared" si="47"/>
        <v>0</v>
      </c>
      <c r="X183" s="145">
        <f t="shared" ref="X183:Y183" si="48">IF(X$20, $H115, $H112)</f>
        <v>0</v>
      </c>
      <c r="Y183" s="145">
        <f t="shared" si="48"/>
        <v>0</v>
      </c>
    </row>
    <row r="184" spans="5:25" x14ac:dyDescent="0.25">
      <c r="E184" s="29"/>
      <c r="F184" s="80" t="s">
        <v>257</v>
      </c>
      <c r="G184" s="67" t="s">
        <v>167</v>
      </c>
      <c r="H184" s="141"/>
      <c r="I184" s="37"/>
      <c r="J184" s="155">
        <f t="shared" ref="J184:K184" si="49">IF(J$20, $H116, $H113)</f>
        <v>0</v>
      </c>
      <c r="K184" s="155">
        <f t="shared" si="49"/>
        <v>0</v>
      </c>
      <c r="L184" s="155">
        <f t="shared" ref="L184:M184" si="50">IF(L$20, $H116, $H113)</f>
        <v>0</v>
      </c>
      <c r="M184" s="155">
        <f t="shared" si="50"/>
        <v>0</v>
      </c>
      <c r="N184" s="155">
        <f t="shared" ref="N184:P184" si="51">IF(N$20, $H116, $H113)</f>
        <v>0</v>
      </c>
      <c r="O184" s="155">
        <f t="shared" si="51"/>
        <v>0</v>
      </c>
      <c r="P184" s="155">
        <f t="shared" si="51"/>
        <v>0</v>
      </c>
      <c r="Q184" s="155">
        <f t="shared" ref="Q184:S184" si="52">IF(Q$20, $H116, $H113)</f>
        <v>0</v>
      </c>
      <c r="R184" s="155">
        <f t="shared" si="52"/>
        <v>0</v>
      </c>
      <c r="S184" s="155">
        <f t="shared" si="52"/>
        <v>0</v>
      </c>
      <c r="T184" s="155">
        <f t="shared" ref="T184:U184" si="53">IF(T$20, $H116, $H113)</f>
        <v>0</v>
      </c>
      <c r="U184" s="155">
        <f t="shared" si="53"/>
        <v>0</v>
      </c>
      <c r="V184" s="155">
        <f t="shared" ref="V184:W184" si="54">IF(V$20, $H116, $H113)</f>
        <v>0</v>
      </c>
      <c r="W184" s="155">
        <f t="shared" si="54"/>
        <v>0</v>
      </c>
      <c r="X184" s="155">
        <f t="shared" ref="X184:Y184" si="55">IF(X$20, $H116, $H113)</f>
        <v>0</v>
      </c>
      <c r="Y184" s="155">
        <f t="shared" si="55"/>
        <v>0</v>
      </c>
    </row>
    <row r="185" spans="5:25" x14ac:dyDescent="0.25">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25">
      <c r="E186" s="32" t="s">
        <v>481</v>
      </c>
      <c r="G186" s="28"/>
    </row>
    <row r="187" spans="5:25" x14ac:dyDescent="0.25">
      <c r="E187" s="29"/>
      <c r="F187" s="78" t="s">
        <v>465</v>
      </c>
      <c r="G187" s="64" t="s">
        <v>167</v>
      </c>
      <c r="H187" s="107"/>
      <c r="I187" s="23"/>
      <c r="J187" s="154">
        <f t="shared" ref="J187:K187" si="56">IF(J$20, $H122, $H119)</f>
        <v>0</v>
      </c>
      <c r="K187" s="154">
        <f t="shared" si="56"/>
        <v>0</v>
      </c>
      <c r="L187" s="154">
        <f t="shared" ref="L187:M187" si="57">IF(L$20, $H122, $H119)</f>
        <v>0</v>
      </c>
      <c r="M187" s="154">
        <f t="shared" si="57"/>
        <v>0</v>
      </c>
      <c r="N187" s="154">
        <f t="shared" ref="N187:P187" si="58">IF(N$20, $H122, $H119)</f>
        <v>0</v>
      </c>
      <c r="O187" s="154">
        <f t="shared" si="58"/>
        <v>0</v>
      </c>
      <c r="P187" s="154">
        <f t="shared" si="58"/>
        <v>0</v>
      </c>
      <c r="Q187" s="154">
        <f t="shared" ref="Q187:S187" si="59">IF(Q$20, $H122, $H119)</f>
        <v>0</v>
      </c>
      <c r="R187" s="154">
        <f t="shared" si="59"/>
        <v>0</v>
      </c>
      <c r="S187" s="154">
        <f t="shared" si="59"/>
        <v>0</v>
      </c>
      <c r="T187" s="154">
        <f t="shared" ref="T187:U187" si="60">IF(T$20, $H122, $H119)</f>
        <v>0</v>
      </c>
      <c r="U187" s="154">
        <f t="shared" si="60"/>
        <v>0</v>
      </c>
      <c r="V187" s="154">
        <f t="shared" ref="V187:W187" si="61">IF(V$20, $H122, $H119)</f>
        <v>0</v>
      </c>
      <c r="W187" s="154">
        <f t="shared" si="61"/>
        <v>0</v>
      </c>
      <c r="X187" s="154">
        <f t="shared" ref="X187:Y187" si="62">IF(X$20, $H122, $H119)</f>
        <v>0</v>
      </c>
      <c r="Y187" s="154">
        <f t="shared" si="62"/>
        <v>0</v>
      </c>
    </row>
    <row r="188" spans="5:25" x14ac:dyDescent="0.25">
      <c r="E188" s="29"/>
      <c r="F188" s="72" t="s">
        <v>466</v>
      </c>
      <c r="G188" s="28" t="s">
        <v>167</v>
      </c>
      <c r="H188" s="25"/>
      <c r="J188" s="145">
        <f t="shared" ref="J188:K188" si="63">IF(J$20, $H123, $H120)</f>
        <v>0</v>
      </c>
      <c r="K188" s="145">
        <f t="shared" si="63"/>
        <v>0</v>
      </c>
      <c r="L188" s="145">
        <f t="shared" ref="L188:M188" si="64">IF(L$20, $H123, $H120)</f>
        <v>0</v>
      </c>
      <c r="M188" s="145">
        <f t="shared" si="64"/>
        <v>0</v>
      </c>
      <c r="N188" s="145">
        <f t="shared" ref="N188:P188" si="65">IF(N$20, $H123, $H120)</f>
        <v>0</v>
      </c>
      <c r="O188" s="145">
        <f t="shared" si="65"/>
        <v>0</v>
      </c>
      <c r="P188" s="145">
        <f t="shared" si="65"/>
        <v>0</v>
      </c>
      <c r="Q188" s="145">
        <f t="shared" ref="Q188:S188" si="66">IF(Q$20, $H123, $H120)</f>
        <v>0</v>
      </c>
      <c r="R188" s="145">
        <f t="shared" si="66"/>
        <v>0</v>
      </c>
      <c r="S188" s="145">
        <f t="shared" si="66"/>
        <v>0</v>
      </c>
      <c r="T188" s="145">
        <f t="shared" ref="T188:U188" si="67">IF(T$20, $H123, $H120)</f>
        <v>0</v>
      </c>
      <c r="U188" s="145">
        <f t="shared" si="67"/>
        <v>0</v>
      </c>
      <c r="V188" s="145">
        <f t="shared" ref="V188:W188" si="68">IF(V$20, $H123, $H120)</f>
        <v>0</v>
      </c>
      <c r="W188" s="145">
        <f t="shared" si="68"/>
        <v>0</v>
      </c>
      <c r="X188" s="145">
        <f t="shared" ref="X188:Y188" si="69">IF(X$20, $H123, $H120)</f>
        <v>0</v>
      </c>
      <c r="Y188" s="145">
        <f t="shared" si="69"/>
        <v>0</v>
      </c>
    </row>
    <row r="189" spans="5:25" x14ac:dyDescent="0.25">
      <c r="E189" s="29"/>
      <c r="F189" s="80" t="s">
        <v>257</v>
      </c>
      <c r="G189" s="67" t="s">
        <v>167</v>
      </c>
      <c r="H189" s="141"/>
      <c r="I189" s="37"/>
      <c r="J189" s="155">
        <f t="shared" ref="J189:K189" si="70">IF(J$20, $H124, $H121)</f>
        <v>0</v>
      </c>
      <c r="K189" s="155">
        <f t="shared" si="70"/>
        <v>0</v>
      </c>
      <c r="L189" s="155">
        <f t="shared" ref="L189:M189" si="71">IF(L$20, $H124, $H121)</f>
        <v>0</v>
      </c>
      <c r="M189" s="155">
        <f t="shared" si="71"/>
        <v>0</v>
      </c>
      <c r="N189" s="155">
        <f t="shared" ref="N189:P189" si="72">IF(N$20, $H124, $H121)</f>
        <v>0</v>
      </c>
      <c r="O189" s="155">
        <f t="shared" si="72"/>
        <v>0</v>
      </c>
      <c r="P189" s="155">
        <f t="shared" si="72"/>
        <v>0</v>
      </c>
      <c r="Q189" s="155">
        <f t="shared" ref="Q189:S189" si="73">IF(Q$20, $H124, $H121)</f>
        <v>0</v>
      </c>
      <c r="R189" s="155">
        <f t="shared" si="73"/>
        <v>0</v>
      </c>
      <c r="S189" s="155">
        <f t="shared" si="73"/>
        <v>0</v>
      </c>
      <c r="T189" s="155">
        <f t="shared" ref="T189:U189" si="74">IF(T$20, $H124, $H121)</f>
        <v>0</v>
      </c>
      <c r="U189" s="155">
        <f t="shared" si="74"/>
        <v>0</v>
      </c>
      <c r="V189" s="155">
        <f t="shared" ref="V189:W189" si="75">IF(V$20, $H124, $H121)</f>
        <v>0</v>
      </c>
      <c r="W189" s="155">
        <f t="shared" si="75"/>
        <v>0</v>
      </c>
      <c r="X189" s="155">
        <f t="shared" ref="X189:Y189" si="76">IF(X$20, $H124, $H121)</f>
        <v>0</v>
      </c>
      <c r="Y189" s="155">
        <f t="shared" si="76"/>
        <v>0</v>
      </c>
    </row>
    <row r="190" spans="5:25" x14ac:dyDescent="0.25">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25">
      <c r="E191" s="32" t="s">
        <v>482</v>
      </c>
      <c r="G191" s="28"/>
    </row>
    <row r="192" spans="5:25" x14ac:dyDescent="0.25">
      <c r="E192" s="29"/>
      <c r="F192" s="78" t="s">
        <v>465</v>
      </c>
      <c r="G192" s="64" t="s">
        <v>167</v>
      </c>
      <c r="H192" s="107"/>
      <c r="I192" s="23"/>
      <c r="J192" s="154">
        <f t="shared" ref="J192:K192" si="77">IF(J$20, $H130, $H127)</f>
        <v>0.46</v>
      </c>
      <c r="K192" s="154">
        <f t="shared" si="77"/>
        <v>0.46</v>
      </c>
      <c r="L192" s="154">
        <f t="shared" ref="L192:M192" si="78">IF(L$20, $H130, $H127)</f>
        <v>0.46</v>
      </c>
      <c r="M192" s="154">
        <f t="shared" si="78"/>
        <v>0.46</v>
      </c>
      <c r="N192" s="154">
        <f t="shared" ref="N192:P192" si="79">IF(N$20, $H130, $H127)</f>
        <v>0.46</v>
      </c>
      <c r="O192" s="154">
        <f t="shared" si="79"/>
        <v>0.46</v>
      </c>
      <c r="P192" s="154">
        <f t="shared" si="79"/>
        <v>0.46</v>
      </c>
      <c r="Q192" s="154">
        <f t="shared" ref="Q192:S192" si="80">IF(Q$20, $H130, $H127)</f>
        <v>0.33</v>
      </c>
      <c r="R192" s="154">
        <f t="shared" si="80"/>
        <v>0.46</v>
      </c>
      <c r="S192" s="154">
        <f t="shared" si="80"/>
        <v>0.46</v>
      </c>
      <c r="T192" s="154">
        <f t="shared" ref="T192:U192" si="81">IF(T$20, $H130, $H127)</f>
        <v>0.46</v>
      </c>
      <c r="U192" s="154">
        <f t="shared" si="81"/>
        <v>0.46</v>
      </c>
      <c r="V192" s="154">
        <f t="shared" ref="V192:W192" si="82">IF(V$20, $H130, $H127)</f>
        <v>0.46</v>
      </c>
      <c r="W192" s="154">
        <f t="shared" si="82"/>
        <v>0.46</v>
      </c>
      <c r="X192" s="154">
        <f t="shared" ref="X192:Y192" si="83">IF(X$20, $H130, $H127)</f>
        <v>0.46</v>
      </c>
      <c r="Y192" s="154">
        <f t="shared" si="83"/>
        <v>0.46</v>
      </c>
    </row>
    <row r="193" spans="5:25" x14ac:dyDescent="0.25">
      <c r="E193" s="29"/>
      <c r="F193" s="72" t="s">
        <v>466</v>
      </c>
      <c r="G193" s="28" t="s">
        <v>167</v>
      </c>
      <c r="H193" s="25"/>
      <c r="J193" s="145">
        <f t="shared" ref="J193:K193" si="84">IF(J$20, $H131, $H128)</f>
        <v>0.35</v>
      </c>
      <c r="K193" s="145">
        <f t="shared" si="84"/>
        <v>0.35</v>
      </c>
      <c r="L193" s="145">
        <f t="shared" ref="L193:M193" si="85">IF(L$20, $H131, $H128)</f>
        <v>0.35</v>
      </c>
      <c r="M193" s="145">
        <f t="shared" si="85"/>
        <v>0.35</v>
      </c>
      <c r="N193" s="145">
        <f t="shared" ref="N193:P193" si="86">IF(N$20, $H131, $H128)</f>
        <v>0.35</v>
      </c>
      <c r="O193" s="145">
        <f t="shared" si="86"/>
        <v>0.35</v>
      </c>
      <c r="P193" s="145">
        <f t="shared" si="86"/>
        <v>0.35</v>
      </c>
      <c r="Q193" s="145">
        <f t="shared" ref="Q193:S193" si="87">IF(Q$20, $H131, $H128)</f>
        <v>0.48000000000000004</v>
      </c>
      <c r="R193" s="145">
        <f t="shared" si="87"/>
        <v>0.35</v>
      </c>
      <c r="S193" s="145">
        <f t="shared" si="87"/>
        <v>0.35</v>
      </c>
      <c r="T193" s="145">
        <f t="shared" ref="T193:U193" si="88">IF(T$20, $H131, $H128)</f>
        <v>0.35</v>
      </c>
      <c r="U193" s="145">
        <f t="shared" si="88"/>
        <v>0.35</v>
      </c>
      <c r="V193" s="145">
        <f t="shared" ref="V193:W193" si="89">IF(V$20, $H131, $H128)</f>
        <v>0.35</v>
      </c>
      <c r="W193" s="145">
        <f t="shared" si="89"/>
        <v>0.35</v>
      </c>
      <c r="X193" s="145">
        <f t="shared" ref="X193:Y193" si="90">IF(X$20, $H131, $H128)</f>
        <v>0.35</v>
      </c>
      <c r="Y193" s="145">
        <f t="shared" si="90"/>
        <v>0.35</v>
      </c>
    </row>
    <row r="194" spans="5:25" x14ac:dyDescent="0.25">
      <c r="E194" s="29"/>
      <c r="F194" s="80" t="s">
        <v>257</v>
      </c>
      <c r="G194" s="67" t="s">
        <v>167</v>
      </c>
      <c r="H194" s="141"/>
      <c r="I194" s="37"/>
      <c r="J194" s="155">
        <f t="shared" ref="J194:K194" si="91">IF(J$20, $H132, $H129)</f>
        <v>0.19</v>
      </c>
      <c r="K194" s="155">
        <f t="shared" si="91"/>
        <v>0.19</v>
      </c>
      <c r="L194" s="155">
        <f t="shared" ref="L194:M194" si="92">IF(L$20, $H132, $H129)</f>
        <v>0.19</v>
      </c>
      <c r="M194" s="155">
        <f t="shared" si="92"/>
        <v>0.19</v>
      </c>
      <c r="N194" s="155">
        <f t="shared" ref="N194:P194" si="93">IF(N$20, $H132, $H129)</f>
        <v>0.19</v>
      </c>
      <c r="O194" s="155">
        <f t="shared" si="93"/>
        <v>0.19</v>
      </c>
      <c r="P194" s="155">
        <f t="shared" si="93"/>
        <v>0.19</v>
      </c>
      <c r="Q194" s="155">
        <f t="shared" ref="Q194:S194" si="94">IF(Q$20, $H132, $H129)</f>
        <v>0.19</v>
      </c>
      <c r="R194" s="155">
        <f t="shared" si="94"/>
        <v>0.19</v>
      </c>
      <c r="S194" s="155">
        <f t="shared" si="94"/>
        <v>0.19</v>
      </c>
      <c r="T194" s="155">
        <f t="shared" ref="T194:U194" si="95">IF(T$20, $H132, $H129)</f>
        <v>0.19</v>
      </c>
      <c r="U194" s="155">
        <f t="shared" si="95"/>
        <v>0.19</v>
      </c>
      <c r="V194" s="155">
        <f t="shared" ref="V194:W194" si="96">IF(V$20, $H132, $H129)</f>
        <v>0.19</v>
      </c>
      <c r="W194" s="155">
        <f t="shared" si="96"/>
        <v>0.19</v>
      </c>
      <c r="X194" s="155">
        <f t="shared" ref="X194:Y194" si="97">IF(X$20, $H132, $H129)</f>
        <v>0.19</v>
      </c>
      <c r="Y194" s="155">
        <f t="shared" si="97"/>
        <v>0.19</v>
      </c>
    </row>
    <row r="195" spans="5:25" x14ac:dyDescent="0.25">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25">
      <c r="E196" s="32" t="s">
        <v>483</v>
      </c>
      <c r="G196" s="28"/>
    </row>
    <row r="197" spans="5:25" x14ac:dyDescent="0.25">
      <c r="E197" s="29"/>
      <c r="F197" s="78" t="s">
        <v>465</v>
      </c>
      <c r="G197" s="64" t="s">
        <v>167</v>
      </c>
      <c r="H197" s="107"/>
      <c r="I197" s="23"/>
      <c r="J197" s="154">
        <f t="shared" ref="J197:K197" si="98">IF(J$20, $H138, $H135)</f>
        <v>0.46</v>
      </c>
      <c r="K197" s="154">
        <f t="shared" si="98"/>
        <v>0.46</v>
      </c>
      <c r="L197" s="154">
        <f t="shared" ref="L197:M197" si="99">IF(L$20, $H138, $H135)</f>
        <v>0.46</v>
      </c>
      <c r="M197" s="154">
        <f t="shared" si="99"/>
        <v>0.46</v>
      </c>
      <c r="N197" s="154">
        <f t="shared" ref="N197:P197" si="100">IF(N$20, $H138, $H135)</f>
        <v>0.46</v>
      </c>
      <c r="O197" s="154">
        <f t="shared" si="100"/>
        <v>0.46</v>
      </c>
      <c r="P197" s="154">
        <f t="shared" si="100"/>
        <v>0.46</v>
      </c>
      <c r="Q197" s="154">
        <f t="shared" ref="Q197:S197" si="101">IF(Q$20, $H138, $H135)</f>
        <v>0.33</v>
      </c>
      <c r="R197" s="154">
        <f t="shared" si="101"/>
        <v>0.46</v>
      </c>
      <c r="S197" s="154">
        <f t="shared" si="101"/>
        <v>0.46</v>
      </c>
      <c r="T197" s="154">
        <f t="shared" ref="T197:U197" si="102">IF(T$20, $H138, $H135)</f>
        <v>0.46</v>
      </c>
      <c r="U197" s="154">
        <f t="shared" si="102"/>
        <v>0.46</v>
      </c>
      <c r="V197" s="154">
        <f t="shared" ref="V197:W197" si="103">IF(V$20, $H138, $H135)</f>
        <v>0.46</v>
      </c>
      <c r="W197" s="154">
        <f t="shared" si="103"/>
        <v>0.46</v>
      </c>
      <c r="X197" s="154">
        <f t="shared" ref="X197:Y197" si="104">IF(X$20, $H138, $H135)</f>
        <v>0.46</v>
      </c>
      <c r="Y197" s="154">
        <f t="shared" si="104"/>
        <v>0.46</v>
      </c>
    </row>
    <row r="198" spans="5:25" x14ac:dyDescent="0.25">
      <c r="E198" s="29"/>
      <c r="F198" s="72" t="s">
        <v>466</v>
      </c>
      <c r="G198" s="28" t="s">
        <v>167</v>
      </c>
      <c r="H198" s="25"/>
      <c r="J198" s="145">
        <f t="shared" ref="J198:K198" si="105">IF(J$20, $H139, $H136)</f>
        <v>0.35</v>
      </c>
      <c r="K198" s="145">
        <f t="shared" si="105"/>
        <v>0.35</v>
      </c>
      <c r="L198" s="145">
        <f t="shared" ref="L198:M198" si="106">IF(L$20, $H139, $H136)</f>
        <v>0.35</v>
      </c>
      <c r="M198" s="145">
        <f t="shared" si="106"/>
        <v>0.35</v>
      </c>
      <c r="N198" s="145">
        <f t="shared" ref="N198:P198" si="107">IF(N$20, $H139, $H136)</f>
        <v>0.35</v>
      </c>
      <c r="O198" s="145">
        <f t="shared" si="107"/>
        <v>0.35</v>
      </c>
      <c r="P198" s="145">
        <f t="shared" si="107"/>
        <v>0.35</v>
      </c>
      <c r="Q198" s="145">
        <f t="shared" ref="Q198:S198" si="108">IF(Q$20, $H139, $H136)</f>
        <v>0.48000000000000004</v>
      </c>
      <c r="R198" s="145">
        <f t="shared" si="108"/>
        <v>0.35</v>
      </c>
      <c r="S198" s="145">
        <f t="shared" si="108"/>
        <v>0.35</v>
      </c>
      <c r="T198" s="145">
        <f t="shared" ref="T198:U198" si="109">IF(T$20, $H139, $H136)</f>
        <v>0.35</v>
      </c>
      <c r="U198" s="145">
        <f t="shared" si="109"/>
        <v>0.35</v>
      </c>
      <c r="V198" s="145">
        <f t="shared" ref="V198:W198" si="110">IF(V$20, $H139, $H136)</f>
        <v>0.35</v>
      </c>
      <c r="W198" s="145">
        <f t="shared" si="110"/>
        <v>0.35</v>
      </c>
      <c r="X198" s="145">
        <f t="shared" ref="X198:Y198" si="111">IF(X$20, $H139, $H136)</f>
        <v>0.35</v>
      </c>
      <c r="Y198" s="145">
        <f t="shared" si="111"/>
        <v>0.35</v>
      </c>
    </row>
    <row r="199" spans="5:25" x14ac:dyDescent="0.25">
      <c r="E199" s="29"/>
      <c r="F199" s="80" t="s">
        <v>257</v>
      </c>
      <c r="G199" s="67" t="s">
        <v>167</v>
      </c>
      <c r="H199" s="141"/>
      <c r="I199" s="37"/>
      <c r="J199" s="155">
        <f t="shared" ref="J199:K199" si="112">IF(J$20, $H140, $H137)</f>
        <v>0.19</v>
      </c>
      <c r="K199" s="155">
        <f t="shared" si="112"/>
        <v>0.19</v>
      </c>
      <c r="L199" s="155">
        <f t="shared" ref="L199:M199" si="113">IF(L$20, $H140, $H137)</f>
        <v>0.19</v>
      </c>
      <c r="M199" s="155">
        <f t="shared" si="113"/>
        <v>0.19</v>
      </c>
      <c r="N199" s="155">
        <f t="shared" ref="N199:P199" si="114">IF(N$20, $H140, $H137)</f>
        <v>0.19</v>
      </c>
      <c r="O199" s="155">
        <f t="shared" si="114"/>
        <v>0.19</v>
      </c>
      <c r="P199" s="155">
        <f t="shared" si="114"/>
        <v>0.19</v>
      </c>
      <c r="Q199" s="155">
        <f t="shared" ref="Q199:S199" si="115">IF(Q$20, $H140, $H137)</f>
        <v>0.19</v>
      </c>
      <c r="R199" s="155">
        <f t="shared" si="115"/>
        <v>0.19</v>
      </c>
      <c r="S199" s="155">
        <f t="shared" si="115"/>
        <v>0.19</v>
      </c>
      <c r="T199" s="155">
        <f t="shared" ref="T199:U199" si="116">IF(T$20, $H140, $H137)</f>
        <v>0.19</v>
      </c>
      <c r="U199" s="155">
        <f t="shared" si="116"/>
        <v>0.19</v>
      </c>
      <c r="V199" s="155">
        <f t="shared" ref="V199:W199" si="117">IF(V$20, $H140, $H137)</f>
        <v>0.19</v>
      </c>
      <c r="W199" s="155">
        <f t="shared" si="117"/>
        <v>0.19</v>
      </c>
      <c r="X199" s="155">
        <f t="shared" ref="X199:Y199" si="118">IF(X$20, $H140, $H137)</f>
        <v>0.19</v>
      </c>
      <c r="Y199" s="155">
        <f t="shared" si="118"/>
        <v>0.19</v>
      </c>
    </row>
    <row r="200" spans="5:25" x14ac:dyDescent="0.25">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25">
      <c r="E201" s="32" t="s">
        <v>484</v>
      </c>
      <c r="G201" s="28"/>
    </row>
    <row r="202" spans="5:25" x14ac:dyDescent="0.25">
      <c r="E202" s="29"/>
      <c r="F202" s="78" t="s">
        <v>465</v>
      </c>
      <c r="G202" s="64" t="s">
        <v>167</v>
      </c>
      <c r="H202" s="107"/>
      <c r="I202" s="23"/>
      <c r="J202" s="154">
        <f t="shared" ref="J202:K202" si="119">IF(J$20, $H146, $H143)</f>
        <v>0</v>
      </c>
      <c r="K202" s="154">
        <f t="shared" si="119"/>
        <v>0</v>
      </c>
      <c r="L202" s="154">
        <f t="shared" ref="L202:M202" si="120">IF(L$20, $H146, $H143)</f>
        <v>0</v>
      </c>
      <c r="M202" s="154">
        <f t="shared" si="120"/>
        <v>0</v>
      </c>
      <c r="N202" s="154">
        <f t="shared" ref="N202:P202" si="121">IF(N$20, $H146, $H143)</f>
        <v>0</v>
      </c>
      <c r="O202" s="154">
        <f t="shared" si="121"/>
        <v>0</v>
      </c>
      <c r="P202" s="154">
        <f t="shared" si="121"/>
        <v>0</v>
      </c>
      <c r="Q202" s="154">
        <f t="shared" ref="Q202:S202" si="122">IF(Q$20, $H146, $H143)</f>
        <v>0</v>
      </c>
      <c r="R202" s="154">
        <f t="shared" si="122"/>
        <v>0</v>
      </c>
      <c r="S202" s="154">
        <f t="shared" si="122"/>
        <v>0</v>
      </c>
      <c r="T202" s="154">
        <f t="shared" ref="T202:U202" si="123">IF(T$20, $H146, $H143)</f>
        <v>0</v>
      </c>
      <c r="U202" s="154">
        <f t="shared" si="123"/>
        <v>0</v>
      </c>
      <c r="V202" s="154">
        <f t="shared" ref="V202:W202" si="124">IF(V$20, $H146, $H143)</f>
        <v>0</v>
      </c>
      <c r="W202" s="154">
        <f t="shared" si="124"/>
        <v>0</v>
      </c>
      <c r="X202" s="154">
        <f t="shared" ref="X202:Y202" si="125">IF(X$20, $H146, $H143)</f>
        <v>0</v>
      </c>
      <c r="Y202" s="154">
        <f t="shared" si="125"/>
        <v>0</v>
      </c>
    </row>
    <row r="203" spans="5:25" x14ac:dyDescent="0.25">
      <c r="E203" s="29"/>
      <c r="F203" s="72" t="s">
        <v>466</v>
      </c>
      <c r="G203" s="28" t="s">
        <v>167</v>
      </c>
      <c r="H203" s="25"/>
      <c r="J203" s="145">
        <f t="shared" ref="J203:K203" si="126">IF(J$20, $H147, $H144)</f>
        <v>0</v>
      </c>
      <c r="K203" s="145">
        <f t="shared" si="126"/>
        <v>0</v>
      </c>
      <c r="L203" s="145">
        <f t="shared" ref="L203:M203" si="127">IF(L$20, $H147, $H144)</f>
        <v>0</v>
      </c>
      <c r="M203" s="145">
        <f t="shared" si="127"/>
        <v>0</v>
      </c>
      <c r="N203" s="145">
        <f t="shared" ref="N203:P203" si="128">IF(N$20, $H147, $H144)</f>
        <v>0</v>
      </c>
      <c r="O203" s="145">
        <f t="shared" si="128"/>
        <v>0</v>
      </c>
      <c r="P203" s="145">
        <f t="shared" si="128"/>
        <v>0</v>
      </c>
      <c r="Q203" s="145">
        <f t="shared" ref="Q203:S203" si="129">IF(Q$20, $H147, $H144)</f>
        <v>0</v>
      </c>
      <c r="R203" s="145">
        <f t="shared" si="129"/>
        <v>0</v>
      </c>
      <c r="S203" s="145">
        <f t="shared" si="129"/>
        <v>0</v>
      </c>
      <c r="T203" s="145">
        <f t="shared" ref="T203:U203" si="130">IF(T$20, $H147, $H144)</f>
        <v>0</v>
      </c>
      <c r="U203" s="145">
        <f t="shared" si="130"/>
        <v>0</v>
      </c>
      <c r="V203" s="145">
        <f t="shared" ref="V203:W203" si="131">IF(V$20, $H147, $H144)</f>
        <v>0</v>
      </c>
      <c r="W203" s="145">
        <f t="shared" si="131"/>
        <v>0</v>
      </c>
      <c r="X203" s="145">
        <f t="shared" ref="X203:Y203" si="132">IF(X$20, $H147, $H144)</f>
        <v>0</v>
      </c>
      <c r="Y203" s="145">
        <f t="shared" si="132"/>
        <v>0</v>
      </c>
    </row>
    <row r="204" spans="5:25" x14ac:dyDescent="0.25">
      <c r="E204" s="29"/>
      <c r="F204" s="80" t="s">
        <v>257</v>
      </c>
      <c r="G204" s="67" t="s">
        <v>167</v>
      </c>
      <c r="H204" s="141"/>
      <c r="I204" s="37"/>
      <c r="J204" s="155">
        <f t="shared" ref="J204:K204" si="133">IF(J$20, $H148, $H145)</f>
        <v>0</v>
      </c>
      <c r="K204" s="155">
        <f t="shared" si="133"/>
        <v>0</v>
      </c>
      <c r="L204" s="155">
        <f t="shared" ref="L204:M204" si="134">IF(L$20, $H148, $H145)</f>
        <v>0</v>
      </c>
      <c r="M204" s="155">
        <f t="shared" si="134"/>
        <v>0</v>
      </c>
      <c r="N204" s="155">
        <f t="shared" ref="N204:P204" si="135">IF(N$20, $H148, $H145)</f>
        <v>0</v>
      </c>
      <c r="O204" s="155">
        <f t="shared" si="135"/>
        <v>0</v>
      </c>
      <c r="P204" s="155">
        <f t="shared" si="135"/>
        <v>0</v>
      </c>
      <c r="Q204" s="155">
        <f t="shared" ref="Q204:S204" si="136">IF(Q$20, $H148, $H145)</f>
        <v>0</v>
      </c>
      <c r="R204" s="155">
        <f t="shared" si="136"/>
        <v>0</v>
      </c>
      <c r="S204" s="155">
        <f t="shared" si="136"/>
        <v>0</v>
      </c>
      <c r="T204" s="155">
        <f t="shared" ref="T204:U204" si="137">IF(T$20, $H148, $H145)</f>
        <v>0</v>
      </c>
      <c r="U204" s="155">
        <f t="shared" si="137"/>
        <v>0</v>
      </c>
      <c r="V204" s="155">
        <f t="shared" ref="V204:W204" si="138">IF(V$20, $H148, $H145)</f>
        <v>0</v>
      </c>
      <c r="W204" s="155">
        <f t="shared" si="138"/>
        <v>0</v>
      </c>
      <c r="X204" s="155">
        <f t="shared" ref="X204:Y204" si="139">IF(X$20, $H148, $H145)</f>
        <v>0</v>
      </c>
      <c r="Y204" s="155">
        <f t="shared" si="139"/>
        <v>0</v>
      </c>
    </row>
    <row r="205" spans="5:25" x14ac:dyDescent="0.25">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25">
      <c r="E206" s="32" t="s">
        <v>485</v>
      </c>
      <c r="G206" s="28"/>
    </row>
    <row r="207" spans="5:25" x14ac:dyDescent="0.25">
      <c r="E207" s="29"/>
      <c r="F207" s="78" t="s">
        <v>465</v>
      </c>
      <c r="G207" s="64" t="s">
        <v>167</v>
      </c>
      <c r="H207" s="107"/>
      <c r="I207" s="23"/>
      <c r="J207" s="154">
        <f t="shared" ref="J207:K207" si="140">IF(J$20, $H154, $H151)</f>
        <v>0.46</v>
      </c>
      <c r="K207" s="154">
        <f t="shared" si="140"/>
        <v>0.46</v>
      </c>
      <c r="L207" s="154">
        <f t="shared" ref="L207:M207" si="141">IF(L$20, $H154, $H151)</f>
        <v>0.46</v>
      </c>
      <c r="M207" s="154">
        <f t="shared" si="141"/>
        <v>0.46</v>
      </c>
      <c r="N207" s="154">
        <f t="shared" ref="N207:P207" si="142">IF(N$20, $H154, $H151)</f>
        <v>0.46</v>
      </c>
      <c r="O207" s="154">
        <f t="shared" si="142"/>
        <v>0.46</v>
      </c>
      <c r="P207" s="154">
        <f t="shared" si="142"/>
        <v>0.46</v>
      </c>
      <c r="Q207" s="154">
        <f t="shared" ref="Q207:S207" si="143">IF(Q$20, $H154, $H151)</f>
        <v>0.33</v>
      </c>
      <c r="R207" s="154">
        <f t="shared" si="143"/>
        <v>0.46</v>
      </c>
      <c r="S207" s="154">
        <f t="shared" si="143"/>
        <v>0.46</v>
      </c>
      <c r="T207" s="154">
        <f t="shared" ref="T207:U207" si="144">IF(T$20, $H154, $H151)</f>
        <v>0.46</v>
      </c>
      <c r="U207" s="154">
        <f t="shared" si="144"/>
        <v>0.46</v>
      </c>
      <c r="V207" s="154">
        <f t="shared" ref="V207:W207" si="145">IF(V$20, $H154, $H151)</f>
        <v>0.46</v>
      </c>
      <c r="W207" s="154">
        <f t="shared" si="145"/>
        <v>0.46</v>
      </c>
      <c r="X207" s="154">
        <f t="shared" ref="X207:Y207" si="146">IF(X$20, $H154, $H151)</f>
        <v>0.46</v>
      </c>
      <c r="Y207" s="154">
        <f t="shared" si="146"/>
        <v>0.46</v>
      </c>
    </row>
    <row r="208" spans="5:25" x14ac:dyDescent="0.25">
      <c r="E208" s="29"/>
      <c r="F208" s="72" t="s">
        <v>466</v>
      </c>
      <c r="G208" s="28" t="s">
        <v>167</v>
      </c>
      <c r="H208" s="25"/>
      <c r="J208" s="145">
        <f t="shared" ref="J208:K208" si="147">IF(J$20, $H155, $H152)</f>
        <v>0.35</v>
      </c>
      <c r="K208" s="145">
        <f t="shared" si="147"/>
        <v>0.35</v>
      </c>
      <c r="L208" s="145">
        <f t="shared" ref="L208:M208" si="148">IF(L$20, $H155, $H152)</f>
        <v>0.35</v>
      </c>
      <c r="M208" s="145">
        <f t="shared" si="148"/>
        <v>0.35</v>
      </c>
      <c r="N208" s="145">
        <f t="shared" ref="N208:P208" si="149">IF(N$20, $H155, $H152)</f>
        <v>0.35</v>
      </c>
      <c r="O208" s="145">
        <f t="shared" si="149"/>
        <v>0.35</v>
      </c>
      <c r="P208" s="145">
        <f t="shared" si="149"/>
        <v>0.35</v>
      </c>
      <c r="Q208" s="145">
        <f t="shared" ref="Q208:S208" si="150">IF(Q$20, $H155, $H152)</f>
        <v>0.48000000000000004</v>
      </c>
      <c r="R208" s="145">
        <f t="shared" si="150"/>
        <v>0.35</v>
      </c>
      <c r="S208" s="145">
        <f t="shared" si="150"/>
        <v>0.35</v>
      </c>
      <c r="T208" s="145">
        <f t="shared" ref="T208:U208" si="151">IF(T$20, $H155, $H152)</f>
        <v>0.35</v>
      </c>
      <c r="U208" s="145">
        <f t="shared" si="151"/>
        <v>0.35</v>
      </c>
      <c r="V208" s="145">
        <f t="shared" ref="V208:W208" si="152">IF(V$20, $H155, $H152)</f>
        <v>0.35</v>
      </c>
      <c r="W208" s="145">
        <f t="shared" si="152"/>
        <v>0.35</v>
      </c>
      <c r="X208" s="145">
        <f t="shared" ref="X208:Y208" si="153">IF(X$20, $H155, $H152)</f>
        <v>0.35</v>
      </c>
      <c r="Y208" s="145">
        <f t="shared" si="153"/>
        <v>0.35</v>
      </c>
    </row>
    <row r="209" spans="3:27" x14ac:dyDescent="0.25">
      <c r="E209" s="29"/>
      <c r="F209" s="80" t="s">
        <v>257</v>
      </c>
      <c r="G209" s="67" t="s">
        <v>167</v>
      </c>
      <c r="H209" s="141"/>
      <c r="I209" s="37"/>
      <c r="J209" s="155">
        <f t="shared" ref="J209:K209" si="154">IF(J$20, $H156, $H153)</f>
        <v>0.19</v>
      </c>
      <c r="K209" s="155">
        <f t="shared" si="154"/>
        <v>0.19</v>
      </c>
      <c r="L209" s="155">
        <f t="shared" ref="L209:M209" si="155">IF(L$20, $H156, $H153)</f>
        <v>0.19</v>
      </c>
      <c r="M209" s="155">
        <f t="shared" si="155"/>
        <v>0.19</v>
      </c>
      <c r="N209" s="155">
        <f t="shared" ref="N209:P209" si="156">IF(N$20, $H156, $H153)</f>
        <v>0.19</v>
      </c>
      <c r="O209" s="155">
        <f t="shared" si="156"/>
        <v>0.19</v>
      </c>
      <c r="P209" s="155">
        <f t="shared" si="156"/>
        <v>0.19</v>
      </c>
      <c r="Q209" s="155">
        <f t="shared" ref="Q209:S209" si="157">IF(Q$20, $H156, $H153)</f>
        <v>0.19</v>
      </c>
      <c r="R209" s="155">
        <f t="shared" si="157"/>
        <v>0.19</v>
      </c>
      <c r="S209" s="155">
        <f t="shared" si="157"/>
        <v>0.19</v>
      </c>
      <c r="T209" s="155">
        <f t="shared" ref="T209:U209" si="158">IF(T$20, $H156, $H153)</f>
        <v>0.19</v>
      </c>
      <c r="U209" s="155">
        <f t="shared" si="158"/>
        <v>0.19</v>
      </c>
      <c r="V209" s="155">
        <f t="shared" ref="V209:W209" si="159">IF(V$20, $H156, $H153)</f>
        <v>0.19</v>
      </c>
      <c r="W209" s="155">
        <f t="shared" si="159"/>
        <v>0.19</v>
      </c>
      <c r="X209" s="155">
        <f t="shared" ref="X209:Y209" si="160">IF(X$20, $H156, $H153)</f>
        <v>0.19</v>
      </c>
      <c r="Y209" s="155">
        <f t="shared" si="160"/>
        <v>0.19</v>
      </c>
    </row>
    <row r="210" spans="3:27" x14ac:dyDescent="0.25">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25">
      <c r="E211" s="32" t="s">
        <v>486</v>
      </c>
      <c r="G211" s="28"/>
    </row>
    <row r="212" spans="3:27" x14ac:dyDescent="0.25">
      <c r="E212" s="29"/>
      <c r="F212" s="78" t="s">
        <v>465</v>
      </c>
      <c r="G212" s="64" t="s">
        <v>167</v>
      </c>
      <c r="H212" s="107"/>
      <c r="I212" s="23"/>
      <c r="J212" s="154">
        <f t="shared" ref="J212:K212" si="161">IF(J$20, $H162, $H159)</f>
        <v>0.46</v>
      </c>
      <c r="K212" s="154">
        <f t="shared" si="161"/>
        <v>0.46</v>
      </c>
      <c r="L212" s="154">
        <f t="shared" ref="L212:M212" si="162">IF(L$20, $H162, $H159)</f>
        <v>0.46</v>
      </c>
      <c r="M212" s="154">
        <f t="shared" si="162"/>
        <v>0.46</v>
      </c>
      <c r="N212" s="154">
        <f t="shared" ref="N212:P212" si="163">IF(N$20, $H162, $H159)</f>
        <v>0.46</v>
      </c>
      <c r="O212" s="154">
        <f t="shared" si="163"/>
        <v>0.46</v>
      </c>
      <c r="P212" s="154">
        <f t="shared" si="163"/>
        <v>0.46</v>
      </c>
      <c r="Q212" s="154">
        <f t="shared" ref="Q212:S212" si="164">IF(Q$20, $H162, $H159)</f>
        <v>0.33</v>
      </c>
      <c r="R212" s="154">
        <f t="shared" si="164"/>
        <v>0.46</v>
      </c>
      <c r="S212" s="154">
        <f t="shared" si="164"/>
        <v>0.46</v>
      </c>
      <c r="T212" s="154">
        <f t="shared" ref="T212:U212" si="165">IF(T$20, $H162, $H159)</f>
        <v>0.46</v>
      </c>
      <c r="U212" s="154">
        <f t="shared" si="165"/>
        <v>0.46</v>
      </c>
      <c r="V212" s="154">
        <f t="shared" ref="V212:W212" si="166">IF(V$20, $H162, $H159)</f>
        <v>0.46</v>
      </c>
      <c r="W212" s="154">
        <f t="shared" si="166"/>
        <v>0.46</v>
      </c>
      <c r="X212" s="154">
        <f t="shared" ref="X212:Y212" si="167">IF(X$20, $H162, $H159)</f>
        <v>0.46</v>
      </c>
      <c r="Y212" s="154">
        <f t="shared" si="167"/>
        <v>0.46</v>
      </c>
    </row>
    <row r="213" spans="3:27" x14ac:dyDescent="0.25">
      <c r="E213" s="29"/>
      <c r="F213" s="72" t="s">
        <v>466</v>
      </c>
      <c r="G213" s="28" t="s">
        <v>167</v>
      </c>
      <c r="H213" s="25"/>
      <c r="J213" s="145">
        <f t="shared" ref="J213:K213" si="168">IF(J$20, $H163, $H160)</f>
        <v>0.35</v>
      </c>
      <c r="K213" s="145">
        <f t="shared" si="168"/>
        <v>0.35</v>
      </c>
      <c r="L213" s="145">
        <f t="shared" ref="L213:M213" si="169">IF(L$20, $H163, $H160)</f>
        <v>0.35</v>
      </c>
      <c r="M213" s="145">
        <f t="shared" si="169"/>
        <v>0.35</v>
      </c>
      <c r="N213" s="145">
        <f t="shared" ref="N213:P213" si="170">IF(N$20, $H163, $H160)</f>
        <v>0.35</v>
      </c>
      <c r="O213" s="145">
        <f t="shared" si="170"/>
        <v>0.35</v>
      </c>
      <c r="P213" s="145">
        <f t="shared" si="170"/>
        <v>0.35</v>
      </c>
      <c r="Q213" s="145">
        <f t="shared" ref="Q213:S213" si="171">IF(Q$20, $H163, $H160)</f>
        <v>0.48000000000000004</v>
      </c>
      <c r="R213" s="145">
        <f t="shared" si="171"/>
        <v>0.35</v>
      </c>
      <c r="S213" s="145">
        <f t="shared" si="171"/>
        <v>0.35</v>
      </c>
      <c r="T213" s="145">
        <f t="shared" ref="T213:U213" si="172">IF(T$20, $H163, $H160)</f>
        <v>0.35</v>
      </c>
      <c r="U213" s="145">
        <f t="shared" si="172"/>
        <v>0.35</v>
      </c>
      <c r="V213" s="145">
        <f t="shared" ref="V213:W213" si="173">IF(V$20, $H163, $H160)</f>
        <v>0.35</v>
      </c>
      <c r="W213" s="145">
        <f t="shared" si="173"/>
        <v>0.35</v>
      </c>
      <c r="X213" s="145">
        <f t="shared" ref="X213:Y213" si="174">IF(X$20, $H163, $H160)</f>
        <v>0.35</v>
      </c>
      <c r="Y213" s="145">
        <f t="shared" si="174"/>
        <v>0.35</v>
      </c>
    </row>
    <row r="214" spans="3:27" x14ac:dyDescent="0.25">
      <c r="E214" s="29"/>
      <c r="F214" s="80" t="s">
        <v>257</v>
      </c>
      <c r="G214" s="67" t="s">
        <v>167</v>
      </c>
      <c r="H214" s="141"/>
      <c r="I214" s="37"/>
      <c r="J214" s="155">
        <f t="shared" ref="J214:K214" si="175">IF(J$20, $H164, $H161)</f>
        <v>0.19</v>
      </c>
      <c r="K214" s="155">
        <f t="shared" si="175"/>
        <v>0.19</v>
      </c>
      <c r="L214" s="155">
        <f t="shared" ref="L214:M214" si="176">IF(L$20, $H164, $H161)</f>
        <v>0.19</v>
      </c>
      <c r="M214" s="155">
        <f t="shared" si="176"/>
        <v>0.19</v>
      </c>
      <c r="N214" s="155">
        <f t="shared" ref="N214:P214" si="177">IF(N$20, $H164, $H161)</f>
        <v>0.19</v>
      </c>
      <c r="O214" s="155">
        <f t="shared" si="177"/>
        <v>0.19</v>
      </c>
      <c r="P214" s="155">
        <f t="shared" si="177"/>
        <v>0.19</v>
      </c>
      <c r="Q214" s="155">
        <f t="shared" ref="Q214:S214" si="178">IF(Q$20, $H164, $H161)</f>
        <v>0.19</v>
      </c>
      <c r="R214" s="155">
        <f t="shared" si="178"/>
        <v>0.19</v>
      </c>
      <c r="S214" s="155">
        <f t="shared" si="178"/>
        <v>0.19</v>
      </c>
      <c r="T214" s="155">
        <f t="shared" ref="T214:U214" si="179">IF(T$20, $H164, $H161)</f>
        <v>0.19</v>
      </c>
      <c r="U214" s="155">
        <f t="shared" si="179"/>
        <v>0.19</v>
      </c>
      <c r="V214" s="155">
        <f t="shared" ref="V214:W214" si="180">IF(V$20, $H164, $H161)</f>
        <v>0.19</v>
      </c>
      <c r="W214" s="155">
        <f t="shared" si="180"/>
        <v>0.19</v>
      </c>
      <c r="X214" s="155">
        <f t="shared" ref="X214:Y214" si="181">IF(X$20, $H164, $H161)</f>
        <v>0.19</v>
      </c>
      <c r="Y214" s="155">
        <f t="shared" si="181"/>
        <v>0.19</v>
      </c>
    </row>
    <row r="215" spans="3:27" x14ac:dyDescent="0.25">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25">
      <c r="E216" s="32" t="s">
        <v>487</v>
      </c>
      <c r="G216" s="28"/>
    </row>
    <row r="217" spans="3:27" x14ac:dyDescent="0.25">
      <c r="E217" s="29"/>
      <c r="F217" s="78" t="s">
        <v>465</v>
      </c>
      <c r="G217" s="64" t="s">
        <v>167</v>
      </c>
      <c r="H217" s="107"/>
      <c r="I217" s="23"/>
      <c r="J217" s="154">
        <f t="shared" ref="J217:K217" si="182">IF(J$20, $H170, $H167)</f>
        <v>0.46</v>
      </c>
      <c r="K217" s="154">
        <f t="shared" si="182"/>
        <v>0.46</v>
      </c>
      <c r="L217" s="154">
        <f t="shared" ref="L217:M217" si="183">IF(L$20, $H170, $H167)</f>
        <v>0.46</v>
      </c>
      <c r="M217" s="154">
        <f t="shared" si="183"/>
        <v>0.46</v>
      </c>
      <c r="N217" s="154">
        <f t="shared" ref="N217:P217" si="184">IF(N$20, $H170, $H167)</f>
        <v>0.46</v>
      </c>
      <c r="O217" s="154">
        <f t="shared" si="184"/>
        <v>0.46</v>
      </c>
      <c r="P217" s="154">
        <f t="shared" si="184"/>
        <v>0.46</v>
      </c>
      <c r="Q217" s="154">
        <f t="shared" ref="Q217:S217" si="185">IF(Q$20, $H170, $H167)</f>
        <v>0.33</v>
      </c>
      <c r="R217" s="154">
        <f t="shared" si="185"/>
        <v>0.46</v>
      </c>
      <c r="S217" s="154">
        <f t="shared" si="185"/>
        <v>0.46</v>
      </c>
      <c r="T217" s="154">
        <f t="shared" ref="T217:U217" si="186">IF(T$20, $H170, $H167)</f>
        <v>0.46</v>
      </c>
      <c r="U217" s="154">
        <f t="shared" si="186"/>
        <v>0.46</v>
      </c>
      <c r="V217" s="154">
        <f t="shared" ref="V217:W217" si="187">IF(V$20, $H170, $H167)</f>
        <v>0.46</v>
      </c>
      <c r="W217" s="154">
        <f t="shared" si="187"/>
        <v>0.46</v>
      </c>
      <c r="X217" s="154">
        <f t="shared" ref="X217:Y217" si="188">IF(X$20, $H170, $H167)</f>
        <v>0.46</v>
      </c>
      <c r="Y217" s="154">
        <f t="shared" si="188"/>
        <v>0.46</v>
      </c>
    </row>
    <row r="218" spans="3:27" x14ac:dyDescent="0.25">
      <c r="E218" s="29"/>
      <c r="F218" s="72" t="s">
        <v>466</v>
      </c>
      <c r="G218" s="28" t="s">
        <v>167</v>
      </c>
      <c r="H218" s="25"/>
      <c r="J218" s="145">
        <f t="shared" ref="J218:K218" si="189">IF(J$20, $H171, $H168)</f>
        <v>0.35</v>
      </c>
      <c r="K218" s="145">
        <f t="shared" si="189"/>
        <v>0.35</v>
      </c>
      <c r="L218" s="145">
        <f t="shared" ref="L218:M218" si="190">IF(L$20, $H171, $H168)</f>
        <v>0.35</v>
      </c>
      <c r="M218" s="145">
        <f t="shared" si="190"/>
        <v>0.35</v>
      </c>
      <c r="N218" s="145">
        <f t="shared" ref="N218:P218" si="191">IF(N$20, $H171, $H168)</f>
        <v>0.35</v>
      </c>
      <c r="O218" s="145">
        <f t="shared" si="191"/>
        <v>0.35</v>
      </c>
      <c r="P218" s="145">
        <f t="shared" si="191"/>
        <v>0.35</v>
      </c>
      <c r="Q218" s="145">
        <f t="shared" ref="Q218:S218" si="192">IF(Q$20, $H171, $H168)</f>
        <v>0.48000000000000004</v>
      </c>
      <c r="R218" s="145">
        <f t="shared" si="192"/>
        <v>0.35</v>
      </c>
      <c r="S218" s="145">
        <f t="shared" si="192"/>
        <v>0.35</v>
      </c>
      <c r="T218" s="145">
        <f t="shared" ref="T218:U218" si="193">IF(T$20, $H171, $H168)</f>
        <v>0.35</v>
      </c>
      <c r="U218" s="145">
        <f t="shared" si="193"/>
        <v>0.35</v>
      </c>
      <c r="V218" s="145">
        <f t="shared" ref="V218:W218" si="194">IF(V$20, $H171, $H168)</f>
        <v>0.35</v>
      </c>
      <c r="W218" s="145">
        <f t="shared" si="194"/>
        <v>0.35</v>
      </c>
      <c r="X218" s="145">
        <f t="shared" ref="X218:Y218" si="195">IF(X$20, $H171, $H168)</f>
        <v>0.35</v>
      </c>
      <c r="Y218" s="145">
        <f t="shared" si="195"/>
        <v>0.35</v>
      </c>
    </row>
    <row r="219" spans="3:27" x14ac:dyDescent="0.25">
      <c r="E219" s="29"/>
      <c r="F219" s="80" t="s">
        <v>257</v>
      </c>
      <c r="G219" s="67" t="s">
        <v>167</v>
      </c>
      <c r="H219" s="141"/>
      <c r="I219" s="37"/>
      <c r="J219" s="155">
        <f t="shared" ref="J219:K219" si="196">IF(J$20, $H172, $H169)</f>
        <v>0.19</v>
      </c>
      <c r="K219" s="155">
        <f t="shared" si="196"/>
        <v>0.19</v>
      </c>
      <c r="L219" s="155">
        <f t="shared" ref="L219:M219" si="197">IF(L$20, $H172, $H169)</f>
        <v>0.19</v>
      </c>
      <c r="M219" s="155">
        <f t="shared" si="197"/>
        <v>0.19</v>
      </c>
      <c r="N219" s="155">
        <f t="shared" ref="N219:P219" si="198">IF(N$20, $H172, $H169)</f>
        <v>0.19</v>
      </c>
      <c r="O219" s="155">
        <f t="shared" si="198"/>
        <v>0.19</v>
      </c>
      <c r="P219" s="155">
        <f t="shared" si="198"/>
        <v>0.19</v>
      </c>
      <c r="Q219" s="155">
        <f t="shared" ref="Q219:S219" si="199">IF(Q$20, $H172, $H169)</f>
        <v>0.19</v>
      </c>
      <c r="R219" s="155">
        <f t="shared" si="199"/>
        <v>0.19</v>
      </c>
      <c r="S219" s="155">
        <f t="shared" si="199"/>
        <v>0.19</v>
      </c>
      <c r="T219" s="155">
        <f t="shared" ref="T219:U219" si="200">IF(T$20, $H172, $H169)</f>
        <v>0.19</v>
      </c>
      <c r="U219" s="155">
        <f t="shared" si="200"/>
        <v>0.19</v>
      </c>
      <c r="V219" s="155">
        <f t="shared" ref="V219:W219" si="201">IF(V$20, $H172, $H169)</f>
        <v>0.19</v>
      </c>
      <c r="W219" s="155">
        <f t="shared" si="201"/>
        <v>0.19</v>
      </c>
      <c r="X219" s="155">
        <f t="shared" ref="X219:Y219" si="202">IF(X$20, $H172, $H169)</f>
        <v>0.19</v>
      </c>
      <c r="Y219" s="155">
        <f t="shared" si="202"/>
        <v>0.19</v>
      </c>
    </row>
    <row r="220" spans="3:27" x14ac:dyDescent="0.25">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25">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25">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25">
      <c r="E223" s="32" t="s">
        <v>488</v>
      </c>
      <c r="G223" s="28"/>
    </row>
    <row r="224" spans="3:27" x14ac:dyDescent="0.25">
      <c r="F224" s="64" t="s">
        <v>465</v>
      </c>
      <c r="G224" s="64" t="s">
        <v>489</v>
      </c>
      <c r="H224" s="23"/>
      <c r="I224" s="23"/>
      <c r="J224" s="158">
        <f t="shared" ref="J224:Y224" si="203">1 / J24</f>
        <v>1.277139208173691E-3</v>
      </c>
      <c r="K224" s="158">
        <f t="shared" si="203"/>
        <v>1.277139208173691E-3</v>
      </c>
      <c r="L224" s="158">
        <f t="shared" si="203"/>
        <v>1.277139208173691E-3</v>
      </c>
      <c r="M224" s="158">
        <f t="shared" si="203"/>
        <v>1.277139208173691E-3</v>
      </c>
      <c r="N224" s="158">
        <f t="shared" si="203"/>
        <v>1.277139208173691E-3</v>
      </c>
      <c r="O224" s="158">
        <f t="shared" si="203"/>
        <v>1.277139208173691E-3</v>
      </c>
      <c r="P224" s="158">
        <f t="shared" si="203"/>
        <v>1.277139208173691E-3</v>
      </c>
      <c r="Q224" s="158">
        <f t="shared" si="203"/>
        <v>3.875968992248062E-3</v>
      </c>
      <c r="R224" s="158">
        <f t="shared" si="203"/>
        <v>1.277139208173691E-3</v>
      </c>
      <c r="S224" s="158">
        <f t="shared" si="203"/>
        <v>1.277139208173691E-3</v>
      </c>
      <c r="T224" s="158">
        <f t="shared" si="203"/>
        <v>1.277139208173691E-3</v>
      </c>
      <c r="U224" s="158">
        <f t="shared" si="203"/>
        <v>1.277139208173691E-3</v>
      </c>
      <c r="V224" s="158">
        <f t="shared" si="203"/>
        <v>1.277139208173691E-3</v>
      </c>
      <c r="W224" s="158">
        <f t="shared" si="203"/>
        <v>1.277139208173691E-3</v>
      </c>
      <c r="X224" s="158">
        <f t="shared" si="203"/>
        <v>1.277139208173691E-3</v>
      </c>
      <c r="Y224" s="158">
        <f t="shared" si="203"/>
        <v>1.277139208173691E-3</v>
      </c>
    </row>
    <row r="225" spans="5:25" x14ac:dyDescent="0.25">
      <c r="F225" s="28" t="s">
        <v>466</v>
      </c>
      <c r="G225" s="28" t="s">
        <v>489</v>
      </c>
      <c r="J225" s="89">
        <f t="shared" ref="J225:Y225" si="204">1 / J25</f>
        <v>2.7005130974885227E-4</v>
      </c>
      <c r="K225" s="89">
        <f t="shared" si="204"/>
        <v>2.7005130974885227E-4</v>
      </c>
      <c r="L225" s="89">
        <f t="shared" si="204"/>
        <v>2.7005130974885227E-4</v>
      </c>
      <c r="M225" s="89">
        <f t="shared" si="204"/>
        <v>2.7005130974885227E-4</v>
      </c>
      <c r="N225" s="89">
        <f t="shared" si="204"/>
        <v>2.7005130974885227E-4</v>
      </c>
      <c r="O225" s="89">
        <f t="shared" si="204"/>
        <v>2.7005130974885227E-4</v>
      </c>
      <c r="P225" s="89">
        <f t="shared" si="204"/>
        <v>2.7005130974885227E-4</v>
      </c>
      <c r="Q225" s="89">
        <f t="shared" si="204"/>
        <v>2.3651844843897824E-4</v>
      </c>
      <c r="R225" s="89">
        <f t="shared" si="204"/>
        <v>2.7005130974885227E-4</v>
      </c>
      <c r="S225" s="89">
        <f t="shared" si="204"/>
        <v>2.7005130974885227E-4</v>
      </c>
      <c r="T225" s="89">
        <f t="shared" si="204"/>
        <v>2.7005130974885227E-4</v>
      </c>
      <c r="U225" s="89">
        <f t="shared" si="204"/>
        <v>2.7005130974885227E-4</v>
      </c>
      <c r="V225" s="89">
        <f t="shared" si="204"/>
        <v>2.7005130974885227E-4</v>
      </c>
      <c r="W225" s="89">
        <f t="shared" si="204"/>
        <v>2.7005130974885227E-4</v>
      </c>
      <c r="X225" s="89">
        <f t="shared" si="204"/>
        <v>2.7005130974885227E-4</v>
      </c>
      <c r="Y225" s="89">
        <f t="shared" si="204"/>
        <v>2.7005130974885227E-4</v>
      </c>
    </row>
    <row r="226" spans="5:25" x14ac:dyDescent="0.25">
      <c r="F226" s="67" t="s">
        <v>257</v>
      </c>
      <c r="G226" s="67" t="s">
        <v>489</v>
      </c>
      <c r="H226" s="37"/>
      <c r="I226" s="37"/>
      <c r="J226" s="82">
        <f t="shared" ref="J226:Y226" si="205">1 / J26</f>
        <v>2.3397285914833881E-4</v>
      </c>
      <c r="K226" s="82">
        <f t="shared" si="205"/>
        <v>2.3397285914833881E-4</v>
      </c>
      <c r="L226" s="82">
        <f t="shared" si="205"/>
        <v>2.3397285914833881E-4</v>
      </c>
      <c r="M226" s="82">
        <f t="shared" si="205"/>
        <v>2.3397285914833881E-4</v>
      </c>
      <c r="N226" s="82">
        <f t="shared" si="205"/>
        <v>2.3397285914833881E-4</v>
      </c>
      <c r="O226" s="82">
        <f t="shared" si="205"/>
        <v>2.3397285914833881E-4</v>
      </c>
      <c r="P226" s="82">
        <f t="shared" si="205"/>
        <v>2.3397285914833881E-4</v>
      </c>
      <c r="Q226" s="82">
        <f t="shared" si="205"/>
        <v>2.3397285914833881E-4</v>
      </c>
      <c r="R226" s="82">
        <f t="shared" si="205"/>
        <v>2.3397285914833881E-4</v>
      </c>
      <c r="S226" s="82">
        <f t="shared" si="205"/>
        <v>2.3397285914833881E-4</v>
      </c>
      <c r="T226" s="82">
        <f t="shared" si="205"/>
        <v>2.3397285914833881E-4</v>
      </c>
      <c r="U226" s="82">
        <f t="shared" si="205"/>
        <v>2.3397285914833881E-4</v>
      </c>
      <c r="V226" s="82">
        <f t="shared" si="205"/>
        <v>2.3397285914833881E-4</v>
      </c>
      <c r="W226" s="82">
        <f t="shared" si="205"/>
        <v>2.3397285914833881E-4</v>
      </c>
      <c r="X226" s="82">
        <f t="shared" si="205"/>
        <v>2.3397285914833881E-4</v>
      </c>
      <c r="Y226" s="82">
        <f t="shared" si="205"/>
        <v>2.3397285914833881E-4</v>
      </c>
    </row>
    <row r="227" spans="5:25" x14ac:dyDescent="0.25">
      <c r="G227" s="28"/>
      <c r="J227" s="89"/>
      <c r="K227" s="89"/>
      <c r="L227" s="89"/>
      <c r="M227" s="89"/>
      <c r="N227" s="89"/>
      <c r="O227" s="89"/>
      <c r="P227" s="89"/>
      <c r="Q227" s="89"/>
      <c r="R227" s="89"/>
      <c r="S227" s="89"/>
      <c r="T227" s="89"/>
      <c r="U227" s="89"/>
      <c r="V227" s="89"/>
      <c r="W227" s="89"/>
      <c r="X227" s="89"/>
      <c r="Y227" s="89"/>
    </row>
    <row r="228" spans="5:25" x14ac:dyDescent="0.25">
      <c r="E228" s="32" t="s">
        <v>156</v>
      </c>
      <c r="G228" s="28"/>
      <c r="J228" s="89"/>
      <c r="K228" s="89"/>
      <c r="L228" s="89"/>
      <c r="M228" s="89"/>
      <c r="N228" s="89"/>
      <c r="O228" s="89"/>
      <c r="P228" s="89"/>
      <c r="Q228" s="89"/>
      <c r="R228" s="89"/>
      <c r="S228" s="89"/>
      <c r="T228" s="89"/>
      <c r="U228" s="89"/>
      <c r="V228" s="89"/>
      <c r="W228" s="89"/>
      <c r="X228" s="89"/>
      <c r="Y228" s="89"/>
    </row>
    <row r="229" spans="5:25" x14ac:dyDescent="0.25">
      <c r="F229" s="159" t="s">
        <v>191</v>
      </c>
      <c r="G229" s="64" t="s">
        <v>283</v>
      </c>
      <c r="H229" s="23"/>
      <c r="I229" s="23"/>
      <c r="J229" s="153">
        <f t="shared" ref="J229:Y229" si="206">J177 * J$224 * hours_in_year</f>
        <v>5.7057471264367825</v>
      </c>
      <c r="K229" s="153">
        <f t="shared" si="206"/>
        <v>5.7057471264367825</v>
      </c>
      <c r="L229" s="153">
        <f t="shared" si="206"/>
        <v>5.7057471264367825</v>
      </c>
      <c r="M229" s="153">
        <f t="shared" si="206"/>
        <v>5.7057471264367825</v>
      </c>
      <c r="N229" s="153">
        <f t="shared" si="206"/>
        <v>5.7057471264367825</v>
      </c>
      <c r="O229" s="153">
        <f t="shared" si="206"/>
        <v>5.7057471264367825</v>
      </c>
      <c r="P229" s="153">
        <f t="shared" si="206"/>
        <v>5.7057471264367825</v>
      </c>
      <c r="Q229" s="153">
        <f t="shared" si="206"/>
        <v>13.920930232558138</v>
      </c>
      <c r="R229" s="153">
        <f t="shared" si="206"/>
        <v>5.7057471264367825</v>
      </c>
      <c r="S229" s="153">
        <f t="shared" si="206"/>
        <v>5.7057471264367825</v>
      </c>
      <c r="T229" s="153">
        <f t="shared" si="206"/>
        <v>5.7057471264367825</v>
      </c>
      <c r="U229" s="153">
        <f t="shared" si="206"/>
        <v>5.7057471264367825</v>
      </c>
      <c r="V229" s="153">
        <f t="shared" si="206"/>
        <v>5.7057471264367825</v>
      </c>
      <c r="W229" s="153">
        <f t="shared" si="206"/>
        <v>5.7057471264367825</v>
      </c>
      <c r="X229" s="153">
        <f t="shared" si="206"/>
        <v>5.7057471264367825</v>
      </c>
      <c r="Y229" s="153">
        <f t="shared" si="206"/>
        <v>5.7057471264367825</v>
      </c>
    </row>
    <row r="230" spans="5:25" x14ac:dyDescent="0.25">
      <c r="F230" s="160" t="s">
        <v>192</v>
      </c>
      <c r="G230" s="28" t="s">
        <v>283</v>
      </c>
      <c r="J230" s="153">
        <f t="shared" ref="J230:Y230" si="207">J182 * J224 * hours_in_year</f>
        <v>0</v>
      </c>
      <c r="K230" s="153">
        <f t="shared" si="207"/>
        <v>0</v>
      </c>
      <c r="L230" s="153">
        <f t="shared" si="207"/>
        <v>0</v>
      </c>
      <c r="M230" s="153">
        <f t="shared" si="207"/>
        <v>0</v>
      </c>
      <c r="N230" s="153">
        <f t="shared" si="207"/>
        <v>0</v>
      </c>
      <c r="O230" s="153">
        <f t="shared" si="207"/>
        <v>0</v>
      </c>
      <c r="P230" s="153">
        <f t="shared" si="207"/>
        <v>0</v>
      </c>
      <c r="Q230" s="153">
        <f t="shared" si="207"/>
        <v>0</v>
      </c>
      <c r="R230" s="153">
        <f t="shared" si="207"/>
        <v>0</v>
      </c>
      <c r="S230" s="153">
        <f t="shared" si="207"/>
        <v>0</v>
      </c>
      <c r="T230" s="153">
        <f t="shared" si="207"/>
        <v>0</v>
      </c>
      <c r="U230" s="153">
        <f t="shared" si="207"/>
        <v>0</v>
      </c>
      <c r="V230" s="153">
        <f t="shared" si="207"/>
        <v>0</v>
      </c>
      <c r="W230" s="153">
        <f t="shared" si="207"/>
        <v>0</v>
      </c>
      <c r="X230" s="153">
        <f t="shared" si="207"/>
        <v>0</v>
      </c>
      <c r="Y230" s="153">
        <f t="shared" si="207"/>
        <v>0</v>
      </c>
    </row>
    <row r="231" spans="5:25" x14ac:dyDescent="0.25">
      <c r="F231" s="160" t="s">
        <v>193</v>
      </c>
      <c r="G231" s="28" t="s">
        <v>283</v>
      </c>
      <c r="J231" s="153">
        <f t="shared" ref="J231:Y231" si="208">J187 * J224 * hours_in_year</f>
        <v>0</v>
      </c>
      <c r="K231" s="153">
        <f t="shared" si="208"/>
        <v>0</v>
      </c>
      <c r="L231" s="153">
        <f t="shared" si="208"/>
        <v>0</v>
      </c>
      <c r="M231" s="153">
        <f t="shared" si="208"/>
        <v>0</v>
      </c>
      <c r="N231" s="153">
        <f t="shared" si="208"/>
        <v>0</v>
      </c>
      <c r="O231" s="153">
        <f t="shared" si="208"/>
        <v>0</v>
      </c>
      <c r="P231" s="153">
        <f t="shared" si="208"/>
        <v>0</v>
      </c>
      <c r="Q231" s="153">
        <f t="shared" si="208"/>
        <v>0</v>
      </c>
      <c r="R231" s="153">
        <f t="shared" si="208"/>
        <v>0</v>
      </c>
      <c r="S231" s="153">
        <f t="shared" si="208"/>
        <v>0</v>
      </c>
      <c r="T231" s="153">
        <f t="shared" si="208"/>
        <v>0</v>
      </c>
      <c r="U231" s="153">
        <f t="shared" si="208"/>
        <v>0</v>
      </c>
      <c r="V231" s="153">
        <f t="shared" si="208"/>
        <v>0</v>
      </c>
      <c r="W231" s="153">
        <f t="shared" si="208"/>
        <v>0</v>
      </c>
      <c r="X231" s="153">
        <f t="shared" si="208"/>
        <v>0</v>
      </c>
      <c r="Y231" s="153">
        <f t="shared" si="208"/>
        <v>0</v>
      </c>
    </row>
    <row r="232" spans="5:25" x14ac:dyDescent="0.25">
      <c r="F232" s="160" t="s">
        <v>194</v>
      </c>
      <c r="G232" s="28" t="s">
        <v>283</v>
      </c>
      <c r="J232" s="153">
        <f t="shared" ref="J232:Y232" si="209">J192 * J224 * hours_in_year</f>
        <v>5.1463601532567056</v>
      </c>
      <c r="K232" s="153">
        <f t="shared" si="209"/>
        <v>5.1463601532567056</v>
      </c>
      <c r="L232" s="153">
        <f t="shared" si="209"/>
        <v>5.1463601532567056</v>
      </c>
      <c r="M232" s="153">
        <f t="shared" si="209"/>
        <v>5.1463601532567056</v>
      </c>
      <c r="N232" s="153">
        <f t="shared" si="209"/>
        <v>5.1463601532567056</v>
      </c>
      <c r="O232" s="153">
        <f t="shared" si="209"/>
        <v>5.1463601532567056</v>
      </c>
      <c r="P232" s="153">
        <f t="shared" si="209"/>
        <v>5.1463601532567056</v>
      </c>
      <c r="Q232" s="153">
        <f t="shared" si="209"/>
        <v>11.204651162790698</v>
      </c>
      <c r="R232" s="153">
        <f t="shared" si="209"/>
        <v>5.1463601532567056</v>
      </c>
      <c r="S232" s="153">
        <f t="shared" si="209"/>
        <v>5.1463601532567056</v>
      </c>
      <c r="T232" s="153">
        <f t="shared" si="209"/>
        <v>5.1463601532567056</v>
      </c>
      <c r="U232" s="153">
        <f t="shared" si="209"/>
        <v>5.1463601532567056</v>
      </c>
      <c r="V232" s="153">
        <f t="shared" si="209"/>
        <v>5.1463601532567056</v>
      </c>
      <c r="W232" s="153">
        <f t="shared" si="209"/>
        <v>5.1463601532567056</v>
      </c>
      <c r="X232" s="153">
        <f t="shared" si="209"/>
        <v>5.1463601532567056</v>
      </c>
      <c r="Y232" s="153">
        <f t="shared" si="209"/>
        <v>5.1463601532567056</v>
      </c>
    </row>
    <row r="233" spans="5:25" x14ac:dyDescent="0.25">
      <c r="F233" s="160" t="s">
        <v>195</v>
      </c>
      <c r="G233" s="28" t="s">
        <v>283</v>
      </c>
      <c r="J233" s="153">
        <f t="shared" ref="J233:Y233" si="210">J197 * J224 * hours_in_year</f>
        <v>5.1463601532567056</v>
      </c>
      <c r="K233" s="153">
        <f t="shared" si="210"/>
        <v>5.1463601532567056</v>
      </c>
      <c r="L233" s="153">
        <f t="shared" si="210"/>
        <v>5.1463601532567056</v>
      </c>
      <c r="M233" s="153">
        <f t="shared" si="210"/>
        <v>5.1463601532567056</v>
      </c>
      <c r="N233" s="153">
        <f t="shared" si="210"/>
        <v>5.1463601532567056</v>
      </c>
      <c r="O233" s="153">
        <f t="shared" si="210"/>
        <v>5.1463601532567056</v>
      </c>
      <c r="P233" s="153">
        <f t="shared" si="210"/>
        <v>5.1463601532567056</v>
      </c>
      <c r="Q233" s="153">
        <f t="shared" si="210"/>
        <v>11.204651162790698</v>
      </c>
      <c r="R233" s="153">
        <f t="shared" si="210"/>
        <v>5.1463601532567056</v>
      </c>
      <c r="S233" s="153">
        <f t="shared" si="210"/>
        <v>5.1463601532567056</v>
      </c>
      <c r="T233" s="153">
        <f t="shared" si="210"/>
        <v>5.1463601532567056</v>
      </c>
      <c r="U233" s="153">
        <f t="shared" si="210"/>
        <v>5.1463601532567056</v>
      </c>
      <c r="V233" s="153">
        <f t="shared" si="210"/>
        <v>5.1463601532567056</v>
      </c>
      <c r="W233" s="153">
        <f t="shared" si="210"/>
        <v>5.1463601532567056</v>
      </c>
      <c r="X233" s="153">
        <f t="shared" si="210"/>
        <v>5.1463601532567056</v>
      </c>
      <c r="Y233" s="153">
        <f t="shared" si="210"/>
        <v>5.1463601532567056</v>
      </c>
    </row>
    <row r="234" spans="5:25" x14ac:dyDescent="0.25">
      <c r="F234" s="160" t="s">
        <v>196</v>
      </c>
      <c r="G234" s="28" t="s">
        <v>283</v>
      </c>
      <c r="J234" s="153">
        <f t="shared" ref="J234:Y234" si="211">J202 * J224 * hours_in_year</f>
        <v>0</v>
      </c>
      <c r="K234" s="153">
        <f t="shared" si="211"/>
        <v>0</v>
      </c>
      <c r="L234" s="153">
        <f t="shared" si="211"/>
        <v>0</v>
      </c>
      <c r="M234" s="153">
        <f t="shared" si="211"/>
        <v>0</v>
      </c>
      <c r="N234" s="153">
        <f t="shared" si="211"/>
        <v>0</v>
      </c>
      <c r="O234" s="153">
        <f t="shared" si="211"/>
        <v>0</v>
      </c>
      <c r="P234" s="153">
        <f t="shared" si="211"/>
        <v>0</v>
      </c>
      <c r="Q234" s="153">
        <f t="shared" si="211"/>
        <v>0</v>
      </c>
      <c r="R234" s="153">
        <f t="shared" si="211"/>
        <v>0</v>
      </c>
      <c r="S234" s="153">
        <f t="shared" si="211"/>
        <v>0</v>
      </c>
      <c r="T234" s="153">
        <f t="shared" si="211"/>
        <v>0</v>
      </c>
      <c r="U234" s="153">
        <f t="shared" si="211"/>
        <v>0</v>
      </c>
      <c r="V234" s="153">
        <f t="shared" si="211"/>
        <v>0</v>
      </c>
      <c r="W234" s="153">
        <f t="shared" si="211"/>
        <v>0</v>
      </c>
      <c r="X234" s="153">
        <f t="shared" si="211"/>
        <v>0</v>
      </c>
      <c r="Y234" s="153">
        <f t="shared" si="211"/>
        <v>0</v>
      </c>
    </row>
    <row r="235" spans="5:25" x14ac:dyDescent="0.25">
      <c r="F235" s="160" t="s">
        <v>197</v>
      </c>
      <c r="G235" s="28" t="s">
        <v>283</v>
      </c>
      <c r="J235" s="153">
        <f t="shared" ref="J235:Y235" si="212">J207 * J224 * hours_in_year</f>
        <v>5.1463601532567056</v>
      </c>
      <c r="K235" s="153">
        <f t="shared" si="212"/>
        <v>5.1463601532567056</v>
      </c>
      <c r="L235" s="153">
        <f t="shared" si="212"/>
        <v>5.1463601532567056</v>
      </c>
      <c r="M235" s="153">
        <f t="shared" si="212"/>
        <v>5.1463601532567056</v>
      </c>
      <c r="N235" s="153">
        <f t="shared" si="212"/>
        <v>5.1463601532567056</v>
      </c>
      <c r="O235" s="153">
        <f t="shared" si="212"/>
        <v>5.1463601532567056</v>
      </c>
      <c r="P235" s="153">
        <f t="shared" si="212"/>
        <v>5.1463601532567056</v>
      </c>
      <c r="Q235" s="153">
        <f t="shared" si="212"/>
        <v>11.204651162790698</v>
      </c>
      <c r="R235" s="153">
        <f t="shared" si="212"/>
        <v>5.1463601532567056</v>
      </c>
      <c r="S235" s="153">
        <f t="shared" si="212"/>
        <v>5.1463601532567056</v>
      </c>
      <c r="T235" s="153">
        <f t="shared" si="212"/>
        <v>5.1463601532567056</v>
      </c>
      <c r="U235" s="153">
        <f t="shared" si="212"/>
        <v>5.1463601532567056</v>
      </c>
      <c r="V235" s="153">
        <f t="shared" si="212"/>
        <v>5.1463601532567056</v>
      </c>
      <c r="W235" s="153">
        <f t="shared" si="212"/>
        <v>5.1463601532567056</v>
      </c>
      <c r="X235" s="153">
        <f t="shared" si="212"/>
        <v>5.1463601532567056</v>
      </c>
      <c r="Y235" s="153">
        <f t="shared" si="212"/>
        <v>5.1463601532567056</v>
      </c>
    </row>
    <row r="236" spans="5:25" x14ac:dyDescent="0.25">
      <c r="F236" s="160" t="s">
        <v>198</v>
      </c>
      <c r="G236" s="28" t="s">
        <v>283</v>
      </c>
      <c r="J236" s="153">
        <f t="shared" ref="J236:Y236" si="213">J212 * J224 * hours_in_year</f>
        <v>5.1463601532567056</v>
      </c>
      <c r="K236" s="153">
        <f t="shared" si="213"/>
        <v>5.1463601532567056</v>
      </c>
      <c r="L236" s="153">
        <f t="shared" si="213"/>
        <v>5.1463601532567056</v>
      </c>
      <c r="M236" s="153">
        <f t="shared" si="213"/>
        <v>5.1463601532567056</v>
      </c>
      <c r="N236" s="153">
        <f t="shared" si="213"/>
        <v>5.1463601532567056</v>
      </c>
      <c r="O236" s="153">
        <f t="shared" si="213"/>
        <v>5.1463601532567056</v>
      </c>
      <c r="P236" s="153">
        <f t="shared" si="213"/>
        <v>5.1463601532567056</v>
      </c>
      <c r="Q236" s="153">
        <f t="shared" si="213"/>
        <v>11.204651162790698</v>
      </c>
      <c r="R236" s="153">
        <f t="shared" si="213"/>
        <v>5.1463601532567056</v>
      </c>
      <c r="S236" s="153">
        <f t="shared" si="213"/>
        <v>5.1463601532567056</v>
      </c>
      <c r="T236" s="153">
        <f t="shared" si="213"/>
        <v>5.1463601532567056</v>
      </c>
      <c r="U236" s="153">
        <f t="shared" si="213"/>
        <v>5.1463601532567056</v>
      </c>
      <c r="V236" s="153">
        <f t="shared" si="213"/>
        <v>5.1463601532567056</v>
      </c>
      <c r="W236" s="153">
        <f t="shared" si="213"/>
        <v>5.1463601532567056</v>
      </c>
      <c r="X236" s="153">
        <f t="shared" si="213"/>
        <v>5.1463601532567056</v>
      </c>
      <c r="Y236" s="153">
        <f t="shared" si="213"/>
        <v>5.1463601532567056</v>
      </c>
    </row>
    <row r="237" spans="5:25" x14ac:dyDescent="0.25">
      <c r="F237" s="161" t="s">
        <v>199</v>
      </c>
      <c r="G237" s="67" t="s">
        <v>283</v>
      </c>
      <c r="H237" s="37"/>
      <c r="I237" s="37"/>
      <c r="J237" s="153">
        <f t="shared" ref="J237:Y237" si="214">J217 * J224 * hours_in_year</f>
        <v>5.1463601532567056</v>
      </c>
      <c r="K237" s="153">
        <f t="shared" si="214"/>
        <v>5.1463601532567056</v>
      </c>
      <c r="L237" s="153">
        <f t="shared" si="214"/>
        <v>5.1463601532567056</v>
      </c>
      <c r="M237" s="153">
        <f t="shared" si="214"/>
        <v>5.1463601532567056</v>
      </c>
      <c r="N237" s="153">
        <f t="shared" si="214"/>
        <v>5.1463601532567056</v>
      </c>
      <c r="O237" s="153">
        <f t="shared" si="214"/>
        <v>5.1463601532567056</v>
      </c>
      <c r="P237" s="153">
        <f t="shared" si="214"/>
        <v>5.1463601532567056</v>
      </c>
      <c r="Q237" s="153">
        <f t="shared" si="214"/>
        <v>11.204651162790698</v>
      </c>
      <c r="R237" s="153">
        <f t="shared" si="214"/>
        <v>5.1463601532567056</v>
      </c>
      <c r="S237" s="153">
        <f t="shared" si="214"/>
        <v>5.1463601532567056</v>
      </c>
      <c r="T237" s="153">
        <f t="shared" si="214"/>
        <v>5.1463601532567056</v>
      </c>
      <c r="U237" s="153">
        <f t="shared" si="214"/>
        <v>5.1463601532567056</v>
      </c>
      <c r="V237" s="153">
        <f t="shared" si="214"/>
        <v>5.1463601532567056</v>
      </c>
      <c r="W237" s="153">
        <f t="shared" si="214"/>
        <v>5.1463601532567056</v>
      </c>
      <c r="X237" s="153">
        <f t="shared" si="214"/>
        <v>5.1463601532567056</v>
      </c>
      <c r="Y237" s="153">
        <f t="shared" si="214"/>
        <v>5.1463601532567056</v>
      </c>
    </row>
    <row r="238" spans="5:25" x14ac:dyDescent="0.25">
      <c r="G238" s="28"/>
      <c r="J238" s="98"/>
      <c r="K238" s="98"/>
      <c r="L238" s="98"/>
      <c r="M238" s="98"/>
      <c r="N238" s="98"/>
      <c r="O238" s="98"/>
      <c r="P238" s="98"/>
      <c r="Q238" s="98"/>
      <c r="R238" s="98"/>
      <c r="S238" s="98"/>
      <c r="T238" s="98"/>
      <c r="U238" s="98"/>
      <c r="V238" s="98"/>
      <c r="W238" s="98"/>
      <c r="X238" s="98"/>
      <c r="Y238" s="98"/>
    </row>
    <row r="239" spans="5:25" x14ac:dyDescent="0.25">
      <c r="E239" s="32" t="s">
        <v>157</v>
      </c>
      <c r="G239" s="28"/>
      <c r="J239" s="89"/>
      <c r="K239" s="89"/>
      <c r="L239" s="89"/>
      <c r="M239" s="89"/>
      <c r="N239" s="89"/>
      <c r="O239" s="89"/>
      <c r="P239" s="89"/>
      <c r="Q239" s="89"/>
      <c r="R239" s="89"/>
      <c r="S239" s="89"/>
      <c r="T239" s="89"/>
      <c r="U239" s="89"/>
      <c r="V239" s="89"/>
      <c r="W239" s="89"/>
      <c r="X239" s="89"/>
      <c r="Y239" s="89"/>
    </row>
    <row r="240" spans="5:25" x14ac:dyDescent="0.25">
      <c r="F240" s="64" t="s">
        <v>191</v>
      </c>
      <c r="G240" s="64" t="s">
        <v>283</v>
      </c>
      <c r="H240" s="23"/>
      <c r="I240" s="23"/>
      <c r="J240" s="153">
        <f t="shared" ref="J240:Y240" si="215">J178 * J225 * hours_in_year</f>
        <v>0.78066432622198212</v>
      </c>
      <c r="K240" s="153">
        <f t="shared" si="215"/>
        <v>0.78066432622198212</v>
      </c>
      <c r="L240" s="153">
        <f t="shared" si="215"/>
        <v>0.78066432622198212</v>
      </c>
      <c r="M240" s="153">
        <f t="shared" si="215"/>
        <v>0.78066432622198212</v>
      </c>
      <c r="N240" s="153">
        <f t="shared" si="215"/>
        <v>0.78066432622198212</v>
      </c>
      <c r="O240" s="153">
        <f t="shared" si="215"/>
        <v>0.78066432622198212</v>
      </c>
      <c r="P240" s="153">
        <f t="shared" si="215"/>
        <v>0.78066432622198212</v>
      </c>
      <c r="Q240" s="153">
        <f t="shared" si="215"/>
        <v>0.89091769157994349</v>
      </c>
      <c r="R240" s="153">
        <f t="shared" si="215"/>
        <v>0.78066432622198212</v>
      </c>
      <c r="S240" s="153">
        <f t="shared" si="215"/>
        <v>0.78066432622198212</v>
      </c>
      <c r="T240" s="153">
        <f t="shared" si="215"/>
        <v>0.78066432622198212</v>
      </c>
      <c r="U240" s="153">
        <f t="shared" si="215"/>
        <v>0.78066432622198212</v>
      </c>
      <c r="V240" s="153">
        <f t="shared" si="215"/>
        <v>0.78066432622198212</v>
      </c>
      <c r="W240" s="153">
        <f t="shared" si="215"/>
        <v>0.78066432622198212</v>
      </c>
      <c r="X240" s="153">
        <f t="shared" si="215"/>
        <v>0.78066432622198212</v>
      </c>
      <c r="Y240" s="153">
        <f t="shared" si="215"/>
        <v>0.78066432622198212</v>
      </c>
    </row>
    <row r="241" spans="5:25" x14ac:dyDescent="0.25">
      <c r="F241" s="28" t="s">
        <v>192</v>
      </c>
      <c r="G241" s="28" t="s">
        <v>283</v>
      </c>
      <c r="J241" s="153">
        <f t="shared" ref="J241:Y241" si="216">J183 * J225 * hours_in_year</f>
        <v>0</v>
      </c>
      <c r="K241" s="153">
        <f t="shared" si="216"/>
        <v>0</v>
      </c>
      <c r="L241" s="153">
        <f t="shared" si="216"/>
        <v>0</v>
      </c>
      <c r="M241" s="153">
        <f t="shared" si="216"/>
        <v>0</v>
      </c>
      <c r="N241" s="153">
        <f t="shared" si="216"/>
        <v>0</v>
      </c>
      <c r="O241" s="153">
        <f t="shared" si="216"/>
        <v>0</v>
      </c>
      <c r="P241" s="153">
        <f t="shared" si="216"/>
        <v>0</v>
      </c>
      <c r="Q241" s="153">
        <f t="shared" si="216"/>
        <v>0</v>
      </c>
      <c r="R241" s="153">
        <f t="shared" si="216"/>
        <v>0</v>
      </c>
      <c r="S241" s="153">
        <f t="shared" si="216"/>
        <v>0</v>
      </c>
      <c r="T241" s="153">
        <f t="shared" si="216"/>
        <v>0</v>
      </c>
      <c r="U241" s="153">
        <f t="shared" si="216"/>
        <v>0</v>
      </c>
      <c r="V241" s="153">
        <f t="shared" si="216"/>
        <v>0</v>
      </c>
      <c r="W241" s="153">
        <f t="shared" si="216"/>
        <v>0</v>
      </c>
      <c r="X241" s="153">
        <f t="shared" si="216"/>
        <v>0</v>
      </c>
      <c r="Y241" s="153">
        <f t="shared" si="216"/>
        <v>0</v>
      </c>
    </row>
    <row r="242" spans="5:25" x14ac:dyDescent="0.25">
      <c r="F242" s="28" t="s">
        <v>193</v>
      </c>
      <c r="G242" s="28" t="s">
        <v>283</v>
      </c>
      <c r="J242" s="153">
        <f t="shared" ref="J242:Y242" si="217">J188 * J225 * hours_in_year</f>
        <v>0</v>
      </c>
      <c r="K242" s="153">
        <f t="shared" si="217"/>
        <v>0</v>
      </c>
      <c r="L242" s="153">
        <f t="shared" si="217"/>
        <v>0</v>
      </c>
      <c r="M242" s="153">
        <f t="shared" si="217"/>
        <v>0</v>
      </c>
      <c r="N242" s="153">
        <f t="shared" si="217"/>
        <v>0</v>
      </c>
      <c r="O242" s="153">
        <f t="shared" si="217"/>
        <v>0</v>
      </c>
      <c r="P242" s="153">
        <f t="shared" si="217"/>
        <v>0</v>
      </c>
      <c r="Q242" s="153">
        <f t="shared" si="217"/>
        <v>0</v>
      </c>
      <c r="R242" s="153">
        <f t="shared" si="217"/>
        <v>0</v>
      </c>
      <c r="S242" s="153">
        <f t="shared" si="217"/>
        <v>0</v>
      </c>
      <c r="T242" s="153">
        <f t="shared" si="217"/>
        <v>0</v>
      </c>
      <c r="U242" s="153">
        <f t="shared" si="217"/>
        <v>0</v>
      </c>
      <c r="V242" s="153">
        <f t="shared" si="217"/>
        <v>0</v>
      </c>
      <c r="W242" s="153">
        <f t="shared" si="217"/>
        <v>0</v>
      </c>
      <c r="X242" s="153">
        <f t="shared" si="217"/>
        <v>0</v>
      </c>
      <c r="Y242" s="153">
        <f t="shared" si="217"/>
        <v>0</v>
      </c>
    </row>
    <row r="243" spans="5:25" x14ac:dyDescent="0.25">
      <c r="F243" s="28" t="s">
        <v>194</v>
      </c>
      <c r="G243" s="28" t="s">
        <v>283</v>
      </c>
      <c r="J243" s="153">
        <f t="shared" ref="J243:Y243" si="218">J193 * J225 * hours_in_year</f>
        <v>0.82797731568998101</v>
      </c>
      <c r="K243" s="153">
        <f t="shared" si="218"/>
        <v>0.82797731568998101</v>
      </c>
      <c r="L243" s="153">
        <f t="shared" si="218"/>
        <v>0.82797731568998101</v>
      </c>
      <c r="M243" s="153">
        <f t="shared" si="218"/>
        <v>0.82797731568998101</v>
      </c>
      <c r="N243" s="153">
        <f t="shared" si="218"/>
        <v>0.82797731568998101</v>
      </c>
      <c r="O243" s="153">
        <f t="shared" si="218"/>
        <v>0.82797731568998101</v>
      </c>
      <c r="P243" s="153">
        <f t="shared" si="218"/>
        <v>0.82797731568998101</v>
      </c>
      <c r="Q243" s="153">
        <f t="shared" si="218"/>
        <v>0.99451277199621579</v>
      </c>
      <c r="R243" s="153">
        <f t="shared" si="218"/>
        <v>0.82797731568998101</v>
      </c>
      <c r="S243" s="153">
        <f t="shared" si="218"/>
        <v>0.82797731568998101</v>
      </c>
      <c r="T243" s="153">
        <f t="shared" si="218"/>
        <v>0.82797731568998101</v>
      </c>
      <c r="U243" s="153">
        <f t="shared" si="218"/>
        <v>0.82797731568998101</v>
      </c>
      <c r="V243" s="153">
        <f t="shared" si="218"/>
        <v>0.82797731568998101</v>
      </c>
      <c r="W243" s="153">
        <f t="shared" si="218"/>
        <v>0.82797731568998101</v>
      </c>
      <c r="X243" s="153">
        <f t="shared" si="218"/>
        <v>0.82797731568998101</v>
      </c>
      <c r="Y243" s="153">
        <f t="shared" si="218"/>
        <v>0.82797731568998101</v>
      </c>
    </row>
    <row r="244" spans="5:25" x14ac:dyDescent="0.25">
      <c r="F244" s="28" t="s">
        <v>195</v>
      </c>
      <c r="G244" s="28" t="s">
        <v>283</v>
      </c>
      <c r="J244" s="153">
        <f t="shared" ref="J244:Y244" si="219">J198 * J225 * hours_in_year</f>
        <v>0.82797731568998101</v>
      </c>
      <c r="K244" s="153">
        <f t="shared" si="219"/>
        <v>0.82797731568998101</v>
      </c>
      <c r="L244" s="153">
        <f t="shared" si="219"/>
        <v>0.82797731568998101</v>
      </c>
      <c r="M244" s="153">
        <f t="shared" si="219"/>
        <v>0.82797731568998101</v>
      </c>
      <c r="N244" s="153">
        <f t="shared" si="219"/>
        <v>0.82797731568998101</v>
      </c>
      <c r="O244" s="153">
        <f t="shared" si="219"/>
        <v>0.82797731568998101</v>
      </c>
      <c r="P244" s="153">
        <f t="shared" si="219"/>
        <v>0.82797731568998101</v>
      </c>
      <c r="Q244" s="153">
        <f t="shared" si="219"/>
        <v>0.99451277199621579</v>
      </c>
      <c r="R244" s="153">
        <f t="shared" si="219"/>
        <v>0.82797731568998101</v>
      </c>
      <c r="S244" s="153">
        <f t="shared" si="219"/>
        <v>0.82797731568998101</v>
      </c>
      <c r="T244" s="153">
        <f t="shared" si="219"/>
        <v>0.82797731568998101</v>
      </c>
      <c r="U244" s="153">
        <f t="shared" si="219"/>
        <v>0.82797731568998101</v>
      </c>
      <c r="V244" s="153">
        <f t="shared" si="219"/>
        <v>0.82797731568998101</v>
      </c>
      <c r="W244" s="153">
        <f t="shared" si="219"/>
        <v>0.82797731568998101</v>
      </c>
      <c r="X244" s="153">
        <f t="shared" si="219"/>
        <v>0.82797731568998101</v>
      </c>
      <c r="Y244" s="153">
        <f t="shared" si="219"/>
        <v>0.82797731568998101</v>
      </c>
    </row>
    <row r="245" spans="5:25" x14ac:dyDescent="0.25">
      <c r="F245" s="28" t="s">
        <v>196</v>
      </c>
      <c r="G245" s="28" t="s">
        <v>283</v>
      </c>
      <c r="J245" s="153">
        <f t="shared" ref="J245:Y245" si="220">J203 * J225 * hours_in_year</f>
        <v>0</v>
      </c>
      <c r="K245" s="153">
        <f t="shared" si="220"/>
        <v>0</v>
      </c>
      <c r="L245" s="153">
        <f t="shared" si="220"/>
        <v>0</v>
      </c>
      <c r="M245" s="153">
        <f t="shared" si="220"/>
        <v>0</v>
      </c>
      <c r="N245" s="153">
        <f t="shared" si="220"/>
        <v>0</v>
      </c>
      <c r="O245" s="153">
        <f t="shared" si="220"/>
        <v>0</v>
      </c>
      <c r="P245" s="153">
        <f t="shared" si="220"/>
        <v>0</v>
      </c>
      <c r="Q245" s="153">
        <f t="shared" si="220"/>
        <v>0</v>
      </c>
      <c r="R245" s="153">
        <f t="shared" si="220"/>
        <v>0</v>
      </c>
      <c r="S245" s="153">
        <f t="shared" si="220"/>
        <v>0</v>
      </c>
      <c r="T245" s="153">
        <f t="shared" si="220"/>
        <v>0</v>
      </c>
      <c r="U245" s="153">
        <f t="shared" si="220"/>
        <v>0</v>
      </c>
      <c r="V245" s="153">
        <f t="shared" si="220"/>
        <v>0</v>
      </c>
      <c r="W245" s="153">
        <f t="shared" si="220"/>
        <v>0</v>
      </c>
      <c r="X245" s="153">
        <f t="shared" si="220"/>
        <v>0</v>
      </c>
      <c r="Y245" s="153">
        <f t="shared" si="220"/>
        <v>0</v>
      </c>
    </row>
    <row r="246" spans="5:25" x14ac:dyDescent="0.25">
      <c r="F246" s="28" t="s">
        <v>197</v>
      </c>
      <c r="G246" s="28" t="s">
        <v>283</v>
      </c>
      <c r="J246" s="153">
        <f t="shared" ref="J246:Y246" si="221">J208 * J225 * hours_in_year</f>
        <v>0.82797731568998101</v>
      </c>
      <c r="K246" s="153">
        <f t="shared" si="221"/>
        <v>0.82797731568998101</v>
      </c>
      <c r="L246" s="153">
        <f t="shared" si="221"/>
        <v>0.82797731568998101</v>
      </c>
      <c r="M246" s="153">
        <f t="shared" si="221"/>
        <v>0.82797731568998101</v>
      </c>
      <c r="N246" s="153">
        <f t="shared" si="221"/>
        <v>0.82797731568998101</v>
      </c>
      <c r="O246" s="153">
        <f t="shared" si="221"/>
        <v>0.82797731568998101</v>
      </c>
      <c r="P246" s="153">
        <f t="shared" si="221"/>
        <v>0.82797731568998101</v>
      </c>
      <c r="Q246" s="153">
        <f t="shared" si="221"/>
        <v>0.99451277199621579</v>
      </c>
      <c r="R246" s="153">
        <f t="shared" si="221"/>
        <v>0.82797731568998101</v>
      </c>
      <c r="S246" s="153">
        <f t="shared" si="221"/>
        <v>0.82797731568998101</v>
      </c>
      <c r="T246" s="153">
        <f t="shared" si="221"/>
        <v>0.82797731568998101</v>
      </c>
      <c r="U246" s="153">
        <f t="shared" si="221"/>
        <v>0.82797731568998101</v>
      </c>
      <c r="V246" s="153">
        <f t="shared" si="221"/>
        <v>0.82797731568998101</v>
      </c>
      <c r="W246" s="153">
        <f t="shared" si="221"/>
        <v>0.82797731568998101</v>
      </c>
      <c r="X246" s="153">
        <f t="shared" si="221"/>
        <v>0.82797731568998101</v>
      </c>
      <c r="Y246" s="153">
        <f t="shared" si="221"/>
        <v>0.82797731568998101</v>
      </c>
    </row>
    <row r="247" spans="5:25" x14ac:dyDescent="0.25">
      <c r="F247" s="28" t="s">
        <v>198</v>
      </c>
      <c r="G247" s="28" t="s">
        <v>283</v>
      </c>
      <c r="J247" s="153">
        <f t="shared" ref="J247:Y247" si="222">J213 * J225 * hours_in_year</f>
        <v>0.82797731568998101</v>
      </c>
      <c r="K247" s="153">
        <f t="shared" si="222"/>
        <v>0.82797731568998101</v>
      </c>
      <c r="L247" s="153">
        <f t="shared" si="222"/>
        <v>0.82797731568998101</v>
      </c>
      <c r="M247" s="153">
        <f t="shared" si="222"/>
        <v>0.82797731568998101</v>
      </c>
      <c r="N247" s="153">
        <f t="shared" si="222"/>
        <v>0.82797731568998101</v>
      </c>
      <c r="O247" s="153">
        <f t="shared" si="222"/>
        <v>0.82797731568998101</v>
      </c>
      <c r="P247" s="153">
        <f t="shared" si="222"/>
        <v>0.82797731568998101</v>
      </c>
      <c r="Q247" s="153">
        <f t="shared" si="222"/>
        <v>0.99451277199621579</v>
      </c>
      <c r="R247" s="153">
        <f t="shared" si="222"/>
        <v>0.82797731568998101</v>
      </c>
      <c r="S247" s="153">
        <f t="shared" si="222"/>
        <v>0.82797731568998101</v>
      </c>
      <c r="T247" s="153">
        <f t="shared" si="222"/>
        <v>0.82797731568998101</v>
      </c>
      <c r="U247" s="153">
        <f t="shared" si="222"/>
        <v>0.82797731568998101</v>
      </c>
      <c r="V247" s="153">
        <f t="shared" si="222"/>
        <v>0.82797731568998101</v>
      </c>
      <c r="W247" s="153">
        <f t="shared" si="222"/>
        <v>0.82797731568998101</v>
      </c>
      <c r="X247" s="153">
        <f t="shared" si="222"/>
        <v>0.82797731568998101</v>
      </c>
      <c r="Y247" s="153">
        <f t="shared" si="222"/>
        <v>0.82797731568998101</v>
      </c>
    </row>
    <row r="248" spans="5:25" x14ac:dyDescent="0.25">
      <c r="F248" s="67" t="s">
        <v>199</v>
      </c>
      <c r="G248" s="67" t="s">
        <v>283</v>
      </c>
      <c r="H248" s="37"/>
      <c r="I248" s="37"/>
      <c r="J248" s="153">
        <f t="shared" ref="J248:Y248" si="223">J218 * J225 * hours_in_year</f>
        <v>0.82797731568998101</v>
      </c>
      <c r="K248" s="153">
        <f t="shared" si="223"/>
        <v>0.82797731568998101</v>
      </c>
      <c r="L248" s="153">
        <f t="shared" si="223"/>
        <v>0.82797731568998101</v>
      </c>
      <c r="M248" s="153">
        <f t="shared" si="223"/>
        <v>0.82797731568998101</v>
      </c>
      <c r="N248" s="153">
        <f t="shared" si="223"/>
        <v>0.82797731568998101</v>
      </c>
      <c r="O248" s="153">
        <f t="shared" si="223"/>
        <v>0.82797731568998101</v>
      </c>
      <c r="P248" s="153">
        <f t="shared" si="223"/>
        <v>0.82797731568998101</v>
      </c>
      <c r="Q248" s="153">
        <f t="shared" si="223"/>
        <v>0.99451277199621579</v>
      </c>
      <c r="R248" s="153">
        <f t="shared" si="223"/>
        <v>0.82797731568998101</v>
      </c>
      <c r="S248" s="153">
        <f t="shared" si="223"/>
        <v>0.82797731568998101</v>
      </c>
      <c r="T248" s="153">
        <f t="shared" si="223"/>
        <v>0.82797731568998101</v>
      </c>
      <c r="U248" s="153">
        <f t="shared" si="223"/>
        <v>0.82797731568998101</v>
      </c>
      <c r="V248" s="153">
        <f t="shared" si="223"/>
        <v>0.82797731568998101</v>
      </c>
      <c r="W248" s="153">
        <f t="shared" si="223"/>
        <v>0.82797731568998101</v>
      </c>
      <c r="X248" s="153">
        <f t="shared" si="223"/>
        <v>0.82797731568998101</v>
      </c>
      <c r="Y248" s="153">
        <f t="shared" si="223"/>
        <v>0.82797731568998101</v>
      </c>
    </row>
    <row r="249" spans="5:25" x14ac:dyDescent="0.25">
      <c r="J249" s="89"/>
      <c r="K249" s="89"/>
      <c r="L249" s="89"/>
      <c r="M249" s="89"/>
      <c r="N249" s="89"/>
      <c r="O249" s="89"/>
      <c r="P249" s="89"/>
      <c r="Q249" s="89"/>
      <c r="R249" s="89"/>
      <c r="S249" s="89"/>
      <c r="T249" s="89"/>
      <c r="U249" s="89"/>
      <c r="V249" s="89"/>
      <c r="W249" s="89"/>
      <c r="X249" s="89"/>
      <c r="Y249" s="89"/>
    </row>
    <row r="250" spans="5:25" x14ac:dyDescent="0.25">
      <c r="E250" s="32" t="s">
        <v>158</v>
      </c>
      <c r="G250" s="28"/>
      <c r="J250" s="89"/>
      <c r="K250" s="89"/>
      <c r="L250" s="89"/>
      <c r="M250" s="89"/>
      <c r="N250" s="89"/>
      <c r="O250" s="89"/>
      <c r="P250" s="89"/>
      <c r="Q250" s="89"/>
      <c r="R250" s="89"/>
      <c r="S250" s="89"/>
      <c r="T250" s="89"/>
      <c r="U250" s="89"/>
      <c r="V250" s="89"/>
      <c r="W250" s="89"/>
      <c r="X250" s="89"/>
      <c r="Y250" s="89"/>
    </row>
    <row r="251" spans="5:25" x14ac:dyDescent="0.25">
      <c r="F251" s="64" t="s">
        <v>191</v>
      </c>
      <c r="G251" s="64" t="s">
        <v>283</v>
      </c>
      <c r="H251" s="23"/>
      <c r="I251" s="23"/>
      <c r="J251" s="153">
        <f t="shared" ref="J251:Y251" si="224">J179 * J226 * hours_in_year</f>
        <v>0.32793635938231164</v>
      </c>
      <c r="K251" s="153">
        <f t="shared" si="224"/>
        <v>0.32793635938231164</v>
      </c>
      <c r="L251" s="153">
        <f t="shared" si="224"/>
        <v>0.32793635938231164</v>
      </c>
      <c r="M251" s="153">
        <f t="shared" si="224"/>
        <v>0.32793635938231164</v>
      </c>
      <c r="N251" s="153">
        <f t="shared" si="224"/>
        <v>0.32793635938231164</v>
      </c>
      <c r="O251" s="153">
        <f t="shared" si="224"/>
        <v>0.32793635938231164</v>
      </c>
      <c r="P251" s="153">
        <f t="shared" si="224"/>
        <v>0.32793635938231164</v>
      </c>
      <c r="Q251" s="153">
        <f t="shared" si="224"/>
        <v>0.32793635938231164</v>
      </c>
      <c r="R251" s="153">
        <f t="shared" si="224"/>
        <v>0.32793635938231164</v>
      </c>
      <c r="S251" s="153">
        <f t="shared" si="224"/>
        <v>0.32793635938231164</v>
      </c>
      <c r="T251" s="153">
        <f t="shared" si="224"/>
        <v>0.32793635938231164</v>
      </c>
      <c r="U251" s="153">
        <f t="shared" si="224"/>
        <v>0.32793635938231164</v>
      </c>
      <c r="V251" s="153">
        <f t="shared" si="224"/>
        <v>0.32793635938231164</v>
      </c>
      <c r="W251" s="153">
        <f t="shared" si="224"/>
        <v>0.32793635938231164</v>
      </c>
      <c r="X251" s="153">
        <f t="shared" si="224"/>
        <v>0.32793635938231164</v>
      </c>
      <c r="Y251" s="153">
        <f t="shared" si="224"/>
        <v>0.32793635938231164</v>
      </c>
    </row>
    <row r="252" spans="5:25" x14ac:dyDescent="0.25">
      <c r="F252" s="28" t="s">
        <v>192</v>
      </c>
      <c r="G252" s="28" t="s">
        <v>283</v>
      </c>
      <c r="J252" s="153">
        <f t="shared" ref="J252:Y252" si="225">J184 * J226 * hours_in_year</f>
        <v>0</v>
      </c>
      <c r="K252" s="153">
        <f t="shared" si="225"/>
        <v>0</v>
      </c>
      <c r="L252" s="153">
        <f t="shared" si="225"/>
        <v>0</v>
      </c>
      <c r="M252" s="153">
        <f t="shared" si="225"/>
        <v>0</v>
      </c>
      <c r="N252" s="153">
        <f t="shared" si="225"/>
        <v>0</v>
      </c>
      <c r="O252" s="153">
        <f t="shared" si="225"/>
        <v>0</v>
      </c>
      <c r="P252" s="153">
        <f t="shared" si="225"/>
        <v>0</v>
      </c>
      <c r="Q252" s="153">
        <f t="shared" si="225"/>
        <v>0</v>
      </c>
      <c r="R252" s="153">
        <f t="shared" si="225"/>
        <v>0</v>
      </c>
      <c r="S252" s="153">
        <f t="shared" si="225"/>
        <v>0</v>
      </c>
      <c r="T252" s="153">
        <f t="shared" si="225"/>
        <v>0</v>
      </c>
      <c r="U252" s="153">
        <f t="shared" si="225"/>
        <v>0</v>
      </c>
      <c r="V252" s="153">
        <f t="shared" si="225"/>
        <v>0</v>
      </c>
      <c r="W252" s="153">
        <f t="shared" si="225"/>
        <v>0</v>
      </c>
      <c r="X252" s="153">
        <f t="shared" si="225"/>
        <v>0</v>
      </c>
      <c r="Y252" s="153">
        <f t="shared" si="225"/>
        <v>0</v>
      </c>
    </row>
    <row r="253" spans="5:25" x14ac:dyDescent="0.25">
      <c r="F253" s="28" t="s">
        <v>193</v>
      </c>
      <c r="G253" s="28" t="s">
        <v>283</v>
      </c>
      <c r="J253" s="153">
        <f t="shared" ref="J253:Y253" si="226">J189 * J226 * hours_in_year</f>
        <v>0</v>
      </c>
      <c r="K253" s="153">
        <f t="shared" si="226"/>
        <v>0</v>
      </c>
      <c r="L253" s="153">
        <f t="shared" si="226"/>
        <v>0</v>
      </c>
      <c r="M253" s="153">
        <f t="shared" si="226"/>
        <v>0</v>
      </c>
      <c r="N253" s="153">
        <f t="shared" si="226"/>
        <v>0</v>
      </c>
      <c r="O253" s="153">
        <f t="shared" si="226"/>
        <v>0</v>
      </c>
      <c r="P253" s="153">
        <f t="shared" si="226"/>
        <v>0</v>
      </c>
      <c r="Q253" s="153">
        <f t="shared" si="226"/>
        <v>0</v>
      </c>
      <c r="R253" s="153">
        <f t="shared" si="226"/>
        <v>0</v>
      </c>
      <c r="S253" s="153">
        <f t="shared" si="226"/>
        <v>0</v>
      </c>
      <c r="T253" s="153">
        <f t="shared" si="226"/>
        <v>0</v>
      </c>
      <c r="U253" s="153">
        <f t="shared" si="226"/>
        <v>0</v>
      </c>
      <c r="V253" s="153">
        <f t="shared" si="226"/>
        <v>0</v>
      </c>
      <c r="W253" s="153">
        <f t="shared" si="226"/>
        <v>0</v>
      </c>
      <c r="X253" s="153">
        <f t="shared" si="226"/>
        <v>0</v>
      </c>
      <c r="Y253" s="153">
        <f t="shared" si="226"/>
        <v>0</v>
      </c>
    </row>
    <row r="254" spans="5:25" x14ac:dyDescent="0.25">
      <c r="F254" s="28" t="s">
        <v>194</v>
      </c>
      <c r="G254" s="28" t="s">
        <v>283</v>
      </c>
      <c r="J254" s="153">
        <f t="shared" ref="J254:Y254" si="227">J194 * J226 * hours_in_year</f>
        <v>0.38942442676649514</v>
      </c>
      <c r="K254" s="153">
        <f t="shared" si="227"/>
        <v>0.38942442676649514</v>
      </c>
      <c r="L254" s="153">
        <f t="shared" si="227"/>
        <v>0.38942442676649514</v>
      </c>
      <c r="M254" s="153">
        <f t="shared" si="227"/>
        <v>0.38942442676649514</v>
      </c>
      <c r="N254" s="153">
        <f t="shared" si="227"/>
        <v>0.38942442676649514</v>
      </c>
      <c r="O254" s="153">
        <f t="shared" si="227"/>
        <v>0.38942442676649514</v>
      </c>
      <c r="P254" s="153">
        <f t="shared" si="227"/>
        <v>0.38942442676649514</v>
      </c>
      <c r="Q254" s="153">
        <f t="shared" si="227"/>
        <v>0.38942442676649514</v>
      </c>
      <c r="R254" s="153">
        <f t="shared" si="227"/>
        <v>0.38942442676649514</v>
      </c>
      <c r="S254" s="153">
        <f t="shared" si="227"/>
        <v>0.38942442676649514</v>
      </c>
      <c r="T254" s="153">
        <f t="shared" si="227"/>
        <v>0.38942442676649514</v>
      </c>
      <c r="U254" s="153">
        <f t="shared" si="227"/>
        <v>0.38942442676649514</v>
      </c>
      <c r="V254" s="153">
        <f t="shared" si="227"/>
        <v>0.38942442676649514</v>
      </c>
      <c r="W254" s="153">
        <f t="shared" si="227"/>
        <v>0.38942442676649514</v>
      </c>
      <c r="X254" s="153">
        <f t="shared" si="227"/>
        <v>0.38942442676649514</v>
      </c>
      <c r="Y254" s="153">
        <f t="shared" si="227"/>
        <v>0.38942442676649514</v>
      </c>
    </row>
    <row r="255" spans="5:25" x14ac:dyDescent="0.25">
      <c r="F255" s="28" t="s">
        <v>195</v>
      </c>
      <c r="G255" s="28" t="s">
        <v>283</v>
      </c>
      <c r="J255" s="153">
        <f t="shared" ref="J255:Y255" si="228">J199 * J226 * hours_in_year</f>
        <v>0.38942442676649514</v>
      </c>
      <c r="K255" s="153">
        <f t="shared" si="228"/>
        <v>0.38942442676649514</v>
      </c>
      <c r="L255" s="153">
        <f t="shared" si="228"/>
        <v>0.38942442676649514</v>
      </c>
      <c r="M255" s="153">
        <f t="shared" si="228"/>
        <v>0.38942442676649514</v>
      </c>
      <c r="N255" s="153">
        <f t="shared" si="228"/>
        <v>0.38942442676649514</v>
      </c>
      <c r="O255" s="153">
        <f t="shared" si="228"/>
        <v>0.38942442676649514</v>
      </c>
      <c r="P255" s="153">
        <f t="shared" si="228"/>
        <v>0.38942442676649514</v>
      </c>
      <c r="Q255" s="153">
        <f t="shared" si="228"/>
        <v>0.38942442676649514</v>
      </c>
      <c r="R255" s="153">
        <f t="shared" si="228"/>
        <v>0.38942442676649514</v>
      </c>
      <c r="S255" s="153">
        <f t="shared" si="228"/>
        <v>0.38942442676649514</v>
      </c>
      <c r="T255" s="153">
        <f t="shared" si="228"/>
        <v>0.38942442676649514</v>
      </c>
      <c r="U255" s="153">
        <f t="shared" si="228"/>
        <v>0.38942442676649514</v>
      </c>
      <c r="V255" s="153">
        <f t="shared" si="228"/>
        <v>0.38942442676649514</v>
      </c>
      <c r="W255" s="153">
        <f t="shared" si="228"/>
        <v>0.38942442676649514</v>
      </c>
      <c r="X255" s="153">
        <f t="shared" si="228"/>
        <v>0.38942442676649514</v>
      </c>
      <c r="Y255" s="153">
        <f t="shared" si="228"/>
        <v>0.38942442676649514</v>
      </c>
    </row>
    <row r="256" spans="5:25" x14ac:dyDescent="0.25">
      <c r="F256" s="28" t="s">
        <v>196</v>
      </c>
      <c r="G256" s="28" t="s">
        <v>283</v>
      </c>
      <c r="J256" s="153">
        <f t="shared" ref="J256:Y256" si="229">J204 * J226 * hours_in_year</f>
        <v>0</v>
      </c>
      <c r="K256" s="153">
        <f t="shared" si="229"/>
        <v>0</v>
      </c>
      <c r="L256" s="153">
        <f t="shared" si="229"/>
        <v>0</v>
      </c>
      <c r="M256" s="153">
        <f t="shared" si="229"/>
        <v>0</v>
      </c>
      <c r="N256" s="153">
        <f t="shared" si="229"/>
        <v>0</v>
      </c>
      <c r="O256" s="153">
        <f t="shared" si="229"/>
        <v>0</v>
      </c>
      <c r="P256" s="153">
        <f t="shared" si="229"/>
        <v>0</v>
      </c>
      <c r="Q256" s="153">
        <f t="shared" si="229"/>
        <v>0</v>
      </c>
      <c r="R256" s="153">
        <f t="shared" si="229"/>
        <v>0</v>
      </c>
      <c r="S256" s="153">
        <f t="shared" si="229"/>
        <v>0</v>
      </c>
      <c r="T256" s="153">
        <f t="shared" si="229"/>
        <v>0</v>
      </c>
      <c r="U256" s="153">
        <f t="shared" si="229"/>
        <v>0</v>
      </c>
      <c r="V256" s="153">
        <f t="shared" si="229"/>
        <v>0</v>
      </c>
      <c r="W256" s="153">
        <f t="shared" si="229"/>
        <v>0</v>
      </c>
      <c r="X256" s="153">
        <f t="shared" si="229"/>
        <v>0</v>
      </c>
      <c r="Y256" s="153">
        <f t="shared" si="229"/>
        <v>0</v>
      </c>
    </row>
    <row r="257" spans="2:27" x14ac:dyDescent="0.25">
      <c r="F257" s="28" t="s">
        <v>197</v>
      </c>
      <c r="G257" s="28" t="s">
        <v>283</v>
      </c>
      <c r="J257" s="153">
        <f t="shared" ref="J257:Y257" si="230">J209 * J226 * hours_in_year</f>
        <v>0.38942442676649514</v>
      </c>
      <c r="K257" s="153">
        <f t="shared" si="230"/>
        <v>0.38942442676649514</v>
      </c>
      <c r="L257" s="153">
        <f t="shared" si="230"/>
        <v>0.38942442676649514</v>
      </c>
      <c r="M257" s="153">
        <f t="shared" si="230"/>
        <v>0.38942442676649514</v>
      </c>
      <c r="N257" s="153">
        <f t="shared" si="230"/>
        <v>0.38942442676649514</v>
      </c>
      <c r="O257" s="153">
        <f t="shared" si="230"/>
        <v>0.38942442676649514</v>
      </c>
      <c r="P257" s="153">
        <f t="shared" si="230"/>
        <v>0.38942442676649514</v>
      </c>
      <c r="Q257" s="153">
        <f t="shared" si="230"/>
        <v>0.38942442676649514</v>
      </c>
      <c r="R257" s="153">
        <f t="shared" si="230"/>
        <v>0.38942442676649514</v>
      </c>
      <c r="S257" s="153">
        <f t="shared" si="230"/>
        <v>0.38942442676649514</v>
      </c>
      <c r="T257" s="153">
        <f t="shared" si="230"/>
        <v>0.38942442676649514</v>
      </c>
      <c r="U257" s="153">
        <f t="shared" si="230"/>
        <v>0.38942442676649514</v>
      </c>
      <c r="V257" s="153">
        <f t="shared" si="230"/>
        <v>0.38942442676649514</v>
      </c>
      <c r="W257" s="153">
        <f t="shared" si="230"/>
        <v>0.38942442676649514</v>
      </c>
      <c r="X257" s="153">
        <f t="shared" si="230"/>
        <v>0.38942442676649514</v>
      </c>
      <c r="Y257" s="153">
        <f t="shared" si="230"/>
        <v>0.38942442676649514</v>
      </c>
    </row>
    <row r="258" spans="2:27" x14ac:dyDescent="0.25">
      <c r="F258" s="28" t="s">
        <v>198</v>
      </c>
      <c r="G258" s="28" t="s">
        <v>283</v>
      </c>
      <c r="J258" s="153">
        <f t="shared" ref="J258:Y258" si="231">J214 * J226 * hours_in_year</f>
        <v>0.38942442676649514</v>
      </c>
      <c r="K258" s="153">
        <f t="shared" si="231"/>
        <v>0.38942442676649514</v>
      </c>
      <c r="L258" s="153">
        <f t="shared" si="231"/>
        <v>0.38942442676649514</v>
      </c>
      <c r="M258" s="153">
        <f t="shared" si="231"/>
        <v>0.38942442676649514</v>
      </c>
      <c r="N258" s="153">
        <f t="shared" si="231"/>
        <v>0.38942442676649514</v>
      </c>
      <c r="O258" s="153">
        <f t="shared" si="231"/>
        <v>0.38942442676649514</v>
      </c>
      <c r="P258" s="153">
        <f t="shared" si="231"/>
        <v>0.38942442676649514</v>
      </c>
      <c r="Q258" s="153">
        <f t="shared" si="231"/>
        <v>0.38942442676649514</v>
      </c>
      <c r="R258" s="153">
        <f t="shared" si="231"/>
        <v>0.38942442676649514</v>
      </c>
      <c r="S258" s="153">
        <f t="shared" si="231"/>
        <v>0.38942442676649514</v>
      </c>
      <c r="T258" s="153">
        <f t="shared" si="231"/>
        <v>0.38942442676649514</v>
      </c>
      <c r="U258" s="153">
        <f t="shared" si="231"/>
        <v>0.38942442676649514</v>
      </c>
      <c r="V258" s="153">
        <f t="shared" si="231"/>
        <v>0.38942442676649514</v>
      </c>
      <c r="W258" s="153">
        <f t="shared" si="231"/>
        <v>0.38942442676649514</v>
      </c>
      <c r="X258" s="153">
        <f t="shared" si="231"/>
        <v>0.38942442676649514</v>
      </c>
      <c r="Y258" s="153">
        <f t="shared" si="231"/>
        <v>0.38942442676649514</v>
      </c>
    </row>
    <row r="259" spans="2:27" x14ac:dyDescent="0.25">
      <c r="F259" s="67" t="s">
        <v>199</v>
      </c>
      <c r="G259" s="67" t="s">
        <v>283</v>
      </c>
      <c r="H259" s="37"/>
      <c r="I259" s="37"/>
      <c r="J259" s="153">
        <f t="shared" ref="J259:Y259" si="232">J219 * J226 * hours_in_year</f>
        <v>0.38942442676649514</v>
      </c>
      <c r="K259" s="153">
        <f t="shared" si="232"/>
        <v>0.38942442676649514</v>
      </c>
      <c r="L259" s="153">
        <f t="shared" si="232"/>
        <v>0.38942442676649514</v>
      </c>
      <c r="M259" s="153">
        <f t="shared" si="232"/>
        <v>0.38942442676649514</v>
      </c>
      <c r="N259" s="153">
        <f t="shared" si="232"/>
        <v>0.38942442676649514</v>
      </c>
      <c r="O259" s="153">
        <f t="shared" si="232"/>
        <v>0.38942442676649514</v>
      </c>
      <c r="P259" s="153">
        <f t="shared" si="232"/>
        <v>0.38942442676649514</v>
      </c>
      <c r="Q259" s="153">
        <f t="shared" si="232"/>
        <v>0.38942442676649514</v>
      </c>
      <c r="R259" s="153">
        <f t="shared" si="232"/>
        <v>0.38942442676649514</v>
      </c>
      <c r="S259" s="153">
        <f t="shared" si="232"/>
        <v>0.38942442676649514</v>
      </c>
      <c r="T259" s="153">
        <f t="shared" si="232"/>
        <v>0.38942442676649514</v>
      </c>
      <c r="U259" s="153">
        <f t="shared" si="232"/>
        <v>0.38942442676649514</v>
      </c>
      <c r="V259" s="153">
        <f t="shared" si="232"/>
        <v>0.38942442676649514</v>
      </c>
      <c r="W259" s="153">
        <f t="shared" si="232"/>
        <v>0.38942442676649514</v>
      </c>
      <c r="X259" s="153">
        <f t="shared" si="232"/>
        <v>0.38942442676649514</v>
      </c>
      <c r="Y259" s="153">
        <f t="shared" si="232"/>
        <v>0.38942442676649514</v>
      </c>
    </row>
    <row r="260" spans="2:27" x14ac:dyDescent="0.25">
      <c r="J260" s="89"/>
      <c r="K260" s="89"/>
      <c r="L260" s="89"/>
      <c r="M260" s="89"/>
      <c r="N260" s="89"/>
      <c r="O260" s="89"/>
      <c r="P260" s="89"/>
      <c r="Q260" s="89"/>
      <c r="R260" s="89"/>
      <c r="S260" s="89"/>
      <c r="T260" s="89"/>
      <c r="U260" s="89"/>
      <c r="V260" s="89"/>
      <c r="W260" s="89"/>
      <c r="X260" s="89"/>
      <c r="Y260" s="89"/>
    </row>
    <row r="261" spans="2:27" x14ac:dyDescent="0.25">
      <c r="B261" s="30" t="s">
        <v>1004</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25">
      <c r="F262" s="28"/>
      <c r="G262" s="28"/>
      <c r="J262" s="89"/>
      <c r="K262" s="89"/>
      <c r="L262" s="89"/>
      <c r="M262" s="89"/>
      <c r="N262" s="89"/>
      <c r="O262" s="89"/>
      <c r="P262" s="89"/>
      <c r="Q262" s="89"/>
      <c r="R262" s="89"/>
      <c r="S262" s="89"/>
      <c r="T262" s="89"/>
      <c r="U262" s="89"/>
      <c r="V262" s="89"/>
      <c r="W262" s="89"/>
      <c r="X262" s="89"/>
      <c r="Y262" s="89"/>
    </row>
    <row r="263" spans="2:27" x14ac:dyDescent="0.25">
      <c r="C263" s="29" t="s">
        <v>1025</v>
      </c>
      <c r="F263" s="28"/>
      <c r="G263" s="28"/>
      <c r="J263" s="89"/>
      <c r="K263" s="89"/>
      <c r="L263" s="89"/>
      <c r="M263" s="89"/>
      <c r="N263" s="89"/>
      <c r="O263" s="89"/>
      <c r="P263" s="89"/>
      <c r="Q263" s="89"/>
      <c r="R263" s="89"/>
      <c r="S263" s="89"/>
      <c r="T263" s="89"/>
      <c r="U263" s="89"/>
      <c r="V263" s="89"/>
      <c r="W263" s="89"/>
      <c r="X263" s="89"/>
      <c r="Y263" s="89"/>
    </row>
    <row r="264" spans="2:27" x14ac:dyDescent="0.25">
      <c r="F264" s="28"/>
      <c r="G264" s="28"/>
      <c r="J264" s="89"/>
      <c r="K264" s="89"/>
      <c r="L264" s="89"/>
      <c r="M264" s="89"/>
      <c r="N264" s="89"/>
      <c r="O264" s="89"/>
      <c r="P264" s="89"/>
      <c r="Q264" s="89"/>
      <c r="R264" s="89"/>
      <c r="S264" s="89"/>
      <c r="T264" s="89"/>
      <c r="U264" s="89"/>
      <c r="V264" s="89"/>
      <c r="W264" s="89"/>
      <c r="X264" s="89"/>
      <c r="Y264" s="89"/>
    </row>
    <row r="265" spans="2:27" x14ac:dyDescent="0.25">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25">
      <c r="F266" s="28"/>
      <c r="G266" s="28"/>
      <c r="J266" s="89"/>
      <c r="K266" s="89"/>
      <c r="L266" s="89"/>
      <c r="M266" s="89"/>
      <c r="N266" s="89"/>
      <c r="O266" s="89"/>
      <c r="P266" s="89"/>
      <c r="Q266" s="89"/>
      <c r="R266" s="89"/>
      <c r="S266" s="89"/>
      <c r="T266" s="89"/>
      <c r="U266" s="89"/>
      <c r="V266" s="89"/>
      <c r="W266" s="89"/>
      <c r="X266" s="89"/>
      <c r="Y266" s="89"/>
    </row>
    <row r="267" spans="2:27" x14ac:dyDescent="0.25">
      <c r="E267" s="28" t="s">
        <v>472</v>
      </c>
      <c r="G267" s="28" t="s">
        <v>283</v>
      </c>
      <c r="J267" s="121">
        <f>J89</f>
        <v>1.9165523428393754</v>
      </c>
      <c r="K267" s="121">
        <f t="shared" ref="K267:Y267" si="233">K89</f>
        <v>0</v>
      </c>
      <c r="L267" s="121">
        <f t="shared" si="233"/>
        <v>1.6935453111111198</v>
      </c>
      <c r="M267" s="121">
        <f t="shared" si="233"/>
        <v>0</v>
      </c>
      <c r="N267" s="121">
        <f t="shared" si="233"/>
        <v>1.4159379139107278</v>
      </c>
      <c r="O267" s="121">
        <f t="shared" si="233"/>
        <v>1.1246259058661519</v>
      </c>
      <c r="P267" s="121">
        <f t="shared" si="233"/>
        <v>1.1853543109769793</v>
      </c>
      <c r="Q267" s="121">
        <f t="shared" si="233"/>
        <v>1.7458171692959752</v>
      </c>
      <c r="R267" s="121">
        <f t="shared" si="233"/>
        <v>1</v>
      </c>
      <c r="S267" s="121">
        <f t="shared" si="233"/>
        <v>1</v>
      </c>
      <c r="T267" s="121">
        <f t="shared" si="233"/>
        <v>1</v>
      </c>
      <c r="U267" s="121">
        <f t="shared" si="233"/>
        <v>1</v>
      </c>
      <c r="V267" s="121">
        <f t="shared" si="233"/>
        <v>1</v>
      </c>
      <c r="W267" s="121">
        <f t="shared" si="233"/>
        <v>1</v>
      </c>
      <c r="X267" s="121">
        <f t="shared" si="233"/>
        <v>1</v>
      </c>
      <c r="Y267" s="121">
        <f t="shared" si="233"/>
        <v>1</v>
      </c>
    </row>
    <row r="268" spans="2:27" x14ac:dyDescent="0.25">
      <c r="F268" s="28"/>
      <c r="G268" s="28"/>
      <c r="J268" s="89"/>
      <c r="K268" s="89"/>
      <c r="L268" s="89"/>
      <c r="M268" s="89"/>
      <c r="N268" s="89"/>
      <c r="O268" s="89"/>
      <c r="P268" s="89"/>
      <c r="Q268" s="89"/>
      <c r="R268" s="89"/>
      <c r="S268" s="89"/>
      <c r="T268" s="89"/>
      <c r="U268" s="89"/>
      <c r="V268" s="89"/>
      <c r="W268" s="89"/>
      <c r="X268" s="89"/>
      <c r="Y268" s="89"/>
    </row>
    <row r="269" spans="2:27" x14ac:dyDescent="0.25">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25">
      <c r="F270" s="28"/>
      <c r="G270" s="28"/>
      <c r="J270" s="89"/>
      <c r="K270" s="89"/>
      <c r="L270" s="89"/>
      <c r="M270" s="89"/>
      <c r="N270" s="89"/>
      <c r="O270" s="89"/>
      <c r="P270" s="89"/>
      <c r="Q270" s="89"/>
      <c r="R270" s="89"/>
      <c r="S270" s="89"/>
      <c r="T270" s="89"/>
      <c r="U270" s="89"/>
      <c r="V270" s="89"/>
      <c r="W270" s="89"/>
      <c r="X270" s="89"/>
      <c r="Y270" s="89"/>
    </row>
    <row r="271" spans="2:27" x14ac:dyDescent="0.25">
      <c r="E271" s="32" t="s">
        <v>156</v>
      </c>
      <c r="G271" s="28"/>
      <c r="J271" s="89"/>
      <c r="K271" s="89"/>
      <c r="L271" s="89"/>
      <c r="M271" s="89"/>
      <c r="N271" s="89"/>
      <c r="O271" s="89"/>
      <c r="P271" s="89"/>
      <c r="Q271" s="89"/>
      <c r="R271" s="89"/>
      <c r="S271" s="89"/>
      <c r="T271" s="89"/>
      <c r="U271" s="89"/>
      <c r="V271" s="89"/>
      <c r="W271" s="89"/>
      <c r="X271" s="89"/>
      <c r="Y271" s="89"/>
    </row>
    <row r="272" spans="2:27" x14ac:dyDescent="0.25">
      <c r="F272" s="64" t="s">
        <v>191</v>
      </c>
      <c r="G272" s="64" t="s">
        <v>283</v>
      </c>
      <c r="H272" s="23"/>
      <c r="I272" s="23"/>
      <c r="J272" s="101">
        <f>J229 * J$93</f>
        <v>7.9590922138949738</v>
      </c>
      <c r="K272" s="101">
        <f t="shared" ref="K272:Y272" si="234">K229 * K$93</f>
        <v>7.9590922138949738</v>
      </c>
      <c r="L272" s="101">
        <f t="shared" si="234"/>
        <v>8.3116359979830161</v>
      </c>
      <c r="M272" s="101">
        <f t="shared" si="234"/>
        <v>8.3116359979830161</v>
      </c>
      <c r="N272" s="101">
        <f t="shared" si="234"/>
        <v>7.415228280497602</v>
      </c>
      <c r="O272" s="101">
        <f t="shared" si="234"/>
        <v>6.3116733031268604</v>
      </c>
      <c r="P272" s="101">
        <f t="shared" si="234"/>
        <v>6.4617389497331343</v>
      </c>
      <c r="Q272" s="101">
        <f t="shared" si="234"/>
        <v>15.37837265110007</v>
      </c>
      <c r="R272" s="101">
        <f t="shared" si="234"/>
        <v>5.7057471264367825</v>
      </c>
      <c r="S272" s="101">
        <f t="shared" si="234"/>
        <v>5.7057471264367825</v>
      </c>
      <c r="T272" s="101">
        <f t="shared" si="234"/>
        <v>5.7057471264367825</v>
      </c>
      <c r="U272" s="101">
        <f t="shared" si="234"/>
        <v>5.7057471264367825</v>
      </c>
      <c r="V272" s="101">
        <f t="shared" si="234"/>
        <v>5.7057471264367825</v>
      </c>
      <c r="W272" s="101">
        <f t="shared" si="234"/>
        <v>5.7057471264367825</v>
      </c>
      <c r="X272" s="101">
        <f t="shared" si="234"/>
        <v>5.7057471264367825</v>
      </c>
      <c r="Y272" s="101">
        <f t="shared" si="234"/>
        <v>5.7057471264367825</v>
      </c>
    </row>
    <row r="273" spans="5:25" x14ac:dyDescent="0.25">
      <c r="F273" s="28" t="s">
        <v>192</v>
      </c>
      <c r="G273" s="28" t="s">
        <v>283</v>
      </c>
      <c r="J273" s="121">
        <f t="shared" ref="J273:Y273" si="235">J230 * J$93</f>
        <v>0</v>
      </c>
      <c r="K273" s="121">
        <f t="shared" si="235"/>
        <v>0</v>
      </c>
      <c r="L273" s="121">
        <f t="shared" si="235"/>
        <v>0</v>
      </c>
      <c r="M273" s="121">
        <f t="shared" si="235"/>
        <v>0</v>
      </c>
      <c r="N273" s="121">
        <f t="shared" si="235"/>
        <v>0</v>
      </c>
      <c r="O273" s="121">
        <f t="shared" si="235"/>
        <v>0</v>
      </c>
      <c r="P273" s="121">
        <f t="shared" si="235"/>
        <v>0</v>
      </c>
      <c r="Q273" s="121">
        <f t="shared" si="235"/>
        <v>0</v>
      </c>
      <c r="R273" s="121">
        <f t="shared" si="235"/>
        <v>0</v>
      </c>
      <c r="S273" s="121">
        <f t="shared" si="235"/>
        <v>0</v>
      </c>
      <c r="T273" s="121">
        <f t="shared" si="235"/>
        <v>0</v>
      </c>
      <c r="U273" s="121">
        <f t="shared" si="235"/>
        <v>0</v>
      </c>
      <c r="V273" s="121">
        <f t="shared" si="235"/>
        <v>0</v>
      </c>
      <c r="W273" s="121">
        <f t="shared" si="235"/>
        <v>0</v>
      </c>
      <c r="X273" s="121">
        <f t="shared" si="235"/>
        <v>0</v>
      </c>
      <c r="Y273" s="121">
        <f t="shared" si="235"/>
        <v>0</v>
      </c>
    </row>
    <row r="274" spans="5:25" x14ac:dyDescent="0.25">
      <c r="F274" s="28" t="s">
        <v>193</v>
      </c>
      <c r="G274" s="28" t="s">
        <v>283</v>
      </c>
      <c r="J274" s="121">
        <f t="shared" ref="J274:Y274" si="236">J231 * J$93</f>
        <v>0</v>
      </c>
      <c r="K274" s="121">
        <f t="shared" si="236"/>
        <v>0</v>
      </c>
      <c r="L274" s="121">
        <f t="shared" si="236"/>
        <v>0</v>
      </c>
      <c r="M274" s="121">
        <f t="shared" si="236"/>
        <v>0</v>
      </c>
      <c r="N274" s="121">
        <f t="shared" si="236"/>
        <v>0</v>
      </c>
      <c r="O274" s="121">
        <f t="shared" si="236"/>
        <v>0</v>
      </c>
      <c r="P274" s="121">
        <f t="shared" si="236"/>
        <v>0</v>
      </c>
      <c r="Q274" s="121">
        <f t="shared" si="236"/>
        <v>0</v>
      </c>
      <c r="R274" s="121">
        <f t="shared" si="236"/>
        <v>0</v>
      </c>
      <c r="S274" s="121">
        <f t="shared" si="236"/>
        <v>0</v>
      </c>
      <c r="T274" s="121">
        <f t="shared" si="236"/>
        <v>0</v>
      </c>
      <c r="U274" s="121">
        <f t="shared" si="236"/>
        <v>0</v>
      </c>
      <c r="V274" s="121">
        <f t="shared" si="236"/>
        <v>0</v>
      </c>
      <c r="W274" s="121">
        <f t="shared" si="236"/>
        <v>0</v>
      </c>
      <c r="X274" s="121">
        <f t="shared" si="236"/>
        <v>0</v>
      </c>
      <c r="Y274" s="121">
        <f t="shared" si="236"/>
        <v>0</v>
      </c>
    </row>
    <row r="275" spans="5:25" x14ac:dyDescent="0.25">
      <c r="F275" s="28" t="s">
        <v>194</v>
      </c>
      <c r="G275" s="28" t="s">
        <v>283</v>
      </c>
      <c r="J275" s="121">
        <f t="shared" ref="J275:Y275" si="237">J232 * J$93</f>
        <v>7.1787890556699754</v>
      </c>
      <c r="K275" s="121">
        <f t="shared" si="237"/>
        <v>7.1787890556699754</v>
      </c>
      <c r="L275" s="121">
        <f t="shared" si="237"/>
        <v>7.4967697236709547</v>
      </c>
      <c r="M275" s="121">
        <f t="shared" si="237"/>
        <v>7.4967697236709547</v>
      </c>
      <c r="N275" s="121">
        <f t="shared" si="237"/>
        <v>6.6882451157429355</v>
      </c>
      <c r="O275" s="121">
        <f t="shared" si="237"/>
        <v>5.6928818028203052</v>
      </c>
      <c r="P275" s="121">
        <f t="shared" si="237"/>
        <v>5.8282351311318461</v>
      </c>
      <c r="Q275" s="121">
        <f t="shared" si="237"/>
        <v>12.377714572836643</v>
      </c>
      <c r="R275" s="121">
        <f t="shared" si="237"/>
        <v>5.1463601532567056</v>
      </c>
      <c r="S275" s="121">
        <f t="shared" si="237"/>
        <v>5.1463601532567056</v>
      </c>
      <c r="T275" s="121">
        <f t="shared" si="237"/>
        <v>5.1463601532567056</v>
      </c>
      <c r="U275" s="121">
        <f t="shared" si="237"/>
        <v>5.1463601532567056</v>
      </c>
      <c r="V275" s="121">
        <f t="shared" si="237"/>
        <v>5.1463601532567056</v>
      </c>
      <c r="W275" s="121">
        <f t="shared" si="237"/>
        <v>5.1463601532567056</v>
      </c>
      <c r="X275" s="121">
        <f t="shared" si="237"/>
        <v>5.1463601532567056</v>
      </c>
      <c r="Y275" s="121">
        <f t="shared" si="237"/>
        <v>5.1463601532567056</v>
      </c>
    </row>
    <row r="276" spans="5:25" x14ac:dyDescent="0.25">
      <c r="F276" s="28" t="s">
        <v>195</v>
      </c>
      <c r="G276" s="28" t="s">
        <v>283</v>
      </c>
      <c r="J276" s="121">
        <f t="shared" ref="J276:Y276" si="238">J233 * J$93</f>
        <v>7.1787890556699754</v>
      </c>
      <c r="K276" s="121">
        <f t="shared" si="238"/>
        <v>7.1787890556699754</v>
      </c>
      <c r="L276" s="121">
        <f t="shared" si="238"/>
        <v>7.4967697236709547</v>
      </c>
      <c r="M276" s="121">
        <f t="shared" si="238"/>
        <v>7.4967697236709547</v>
      </c>
      <c r="N276" s="121">
        <f t="shared" si="238"/>
        <v>6.6882451157429355</v>
      </c>
      <c r="O276" s="121">
        <f t="shared" si="238"/>
        <v>5.6928818028203052</v>
      </c>
      <c r="P276" s="121">
        <f t="shared" si="238"/>
        <v>5.8282351311318461</v>
      </c>
      <c r="Q276" s="121">
        <f t="shared" si="238"/>
        <v>12.377714572836643</v>
      </c>
      <c r="R276" s="121">
        <f t="shared" si="238"/>
        <v>5.1463601532567056</v>
      </c>
      <c r="S276" s="121">
        <f t="shared" si="238"/>
        <v>5.1463601532567056</v>
      </c>
      <c r="T276" s="121">
        <f t="shared" si="238"/>
        <v>5.1463601532567056</v>
      </c>
      <c r="U276" s="121">
        <f t="shared" si="238"/>
        <v>5.1463601532567056</v>
      </c>
      <c r="V276" s="121">
        <f t="shared" si="238"/>
        <v>5.1463601532567056</v>
      </c>
      <c r="W276" s="121">
        <f t="shared" si="238"/>
        <v>5.1463601532567056</v>
      </c>
      <c r="X276" s="121">
        <f t="shared" si="238"/>
        <v>5.1463601532567056</v>
      </c>
      <c r="Y276" s="121">
        <f t="shared" si="238"/>
        <v>5.1463601532567056</v>
      </c>
    </row>
    <row r="277" spans="5:25" x14ac:dyDescent="0.25">
      <c r="F277" s="28" t="s">
        <v>196</v>
      </c>
      <c r="G277" s="28" t="s">
        <v>283</v>
      </c>
      <c r="J277" s="121">
        <f t="shared" ref="J277:Y277" si="239">J234 * J$93</f>
        <v>0</v>
      </c>
      <c r="K277" s="121">
        <f t="shared" si="239"/>
        <v>0</v>
      </c>
      <c r="L277" s="121">
        <f t="shared" si="239"/>
        <v>0</v>
      </c>
      <c r="M277" s="121">
        <f t="shared" si="239"/>
        <v>0</v>
      </c>
      <c r="N277" s="121">
        <f t="shared" si="239"/>
        <v>0</v>
      </c>
      <c r="O277" s="121">
        <f t="shared" si="239"/>
        <v>0</v>
      </c>
      <c r="P277" s="121">
        <f t="shared" si="239"/>
        <v>0</v>
      </c>
      <c r="Q277" s="121">
        <f t="shared" si="239"/>
        <v>0</v>
      </c>
      <c r="R277" s="121">
        <f t="shared" si="239"/>
        <v>0</v>
      </c>
      <c r="S277" s="121">
        <f t="shared" si="239"/>
        <v>0</v>
      </c>
      <c r="T277" s="121">
        <f t="shared" si="239"/>
        <v>0</v>
      </c>
      <c r="U277" s="121">
        <f t="shared" si="239"/>
        <v>0</v>
      </c>
      <c r="V277" s="121">
        <f t="shared" si="239"/>
        <v>0</v>
      </c>
      <c r="W277" s="121">
        <f t="shared" si="239"/>
        <v>0</v>
      </c>
      <c r="X277" s="121">
        <f t="shared" si="239"/>
        <v>0</v>
      </c>
      <c r="Y277" s="121">
        <f t="shared" si="239"/>
        <v>0</v>
      </c>
    </row>
    <row r="278" spans="5:25" x14ac:dyDescent="0.25">
      <c r="F278" s="28" t="s">
        <v>197</v>
      </c>
      <c r="G278" s="28" t="s">
        <v>283</v>
      </c>
      <c r="J278" s="121">
        <f t="shared" ref="J278:Y278" si="240">J235 * J$93</f>
        <v>7.1787890556699754</v>
      </c>
      <c r="K278" s="121">
        <f t="shared" si="240"/>
        <v>7.1787890556699754</v>
      </c>
      <c r="L278" s="121">
        <f t="shared" si="240"/>
        <v>7.4967697236709547</v>
      </c>
      <c r="M278" s="121">
        <f t="shared" si="240"/>
        <v>7.4967697236709547</v>
      </c>
      <c r="N278" s="121">
        <f t="shared" si="240"/>
        <v>6.6882451157429355</v>
      </c>
      <c r="O278" s="121">
        <f t="shared" si="240"/>
        <v>5.6928818028203052</v>
      </c>
      <c r="P278" s="121">
        <f t="shared" si="240"/>
        <v>5.8282351311318461</v>
      </c>
      <c r="Q278" s="121">
        <f t="shared" si="240"/>
        <v>12.377714572836643</v>
      </c>
      <c r="R278" s="121">
        <f t="shared" si="240"/>
        <v>5.1463601532567056</v>
      </c>
      <c r="S278" s="121">
        <f t="shared" si="240"/>
        <v>5.1463601532567056</v>
      </c>
      <c r="T278" s="121">
        <f t="shared" si="240"/>
        <v>5.1463601532567056</v>
      </c>
      <c r="U278" s="121">
        <f t="shared" si="240"/>
        <v>5.1463601532567056</v>
      </c>
      <c r="V278" s="121">
        <f t="shared" si="240"/>
        <v>5.1463601532567056</v>
      </c>
      <c r="W278" s="121">
        <f t="shared" si="240"/>
        <v>5.1463601532567056</v>
      </c>
      <c r="X278" s="121">
        <f t="shared" si="240"/>
        <v>5.1463601532567056</v>
      </c>
      <c r="Y278" s="121">
        <f t="shared" si="240"/>
        <v>5.1463601532567056</v>
      </c>
    </row>
    <row r="279" spans="5:25" x14ac:dyDescent="0.25">
      <c r="F279" s="28" t="s">
        <v>198</v>
      </c>
      <c r="G279" s="28" t="s">
        <v>283</v>
      </c>
      <c r="J279" s="121">
        <f t="shared" ref="J279:Y279" si="241">J236 * J$93</f>
        <v>7.1787890556699754</v>
      </c>
      <c r="K279" s="121">
        <f t="shared" si="241"/>
        <v>7.1787890556699754</v>
      </c>
      <c r="L279" s="121">
        <f t="shared" si="241"/>
        <v>7.4967697236709547</v>
      </c>
      <c r="M279" s="121">
        <f t="shared" si="241"/>
        <v>7.4967697236709547</v>
      </c>
      <c r="N279" s="121">
        <f t="shared" si="241"/>
        <v>6.6882451157429355</v>
      </c>
      <c r="O279" s="121">
        <f t="shared" si="241"/>
        <v>5.6928818028203052</v>
      </c>
      <c r="P279" s="121">
        <f t="shared" si="241"/>
        <v>5.8282351311318461</v>
      </c>
      <c r="Q279" s="121">
        <f t="shared" si="241"/>
        <v>12.377714572836643</v>
      </c>
      <c r="R279" s="121">
        <f t="shared" si="241"/>
        <v>5.1463601532567056</v>
      </c>
      <c r="S279" s="121">
        <f t="shared" si="241"/>
        <v>5.1463601532567056</v>
      </c>
      <c r="T279" s="121">
        <f t="shared" si="241"/>
        <v>5.1463601532567056</v>
      </c>
      <c r="U279" s="121">
        <f t="shared" si="241"/>
        <v>5.1463601532567056</v>
      </c>
      <c r="V279" s="121">
        <f t="shared" si="241"/>
        <v>5.1463601532567056</v>
      </c>
      <c r="W279" s="121">
        <f t="shared" si="241"/>
        <v>5.1463601532567056</v>
      </c>
      <c r="X279" s="121">
        <f t="shared" si="241"/>
        <v>5.1463601532567056</v>
      </c>
      <c r="Y279" s="121">
        <f t="shared" si="241"/>
        <v>5.1463601532567056</v>
      </c>
    </row>
    <row r="280" spans="5:25" x14ac:dyDescent="0.25">
      <c r="F280" s="67" t="s">
        <v>199</v>
      </c>
      <c r="G280" s="67" t="s">
        <v>283</v>
      </c>
      <c r="H280" s="37"/>
      <c r="I280" s="37"/>
      <c r="J280" s="131">
        <f t="shared" ref="J280:Y280" si="242">J237 * J$93</f>
        <v>7.1787890556699754</v>
      </c>
      <c r="K280" s="131">
        <f t="shared" si="242"/>
        <v>7.1787890556699754</v>
      </c>
      <c r="L280" s="131">
        <f t="shared" si="242"/>
        <v>7.4967697236709547</v>
      </c>
      <c r="M280" s="131">
        <f t="shared" si="242"/>
        <v>7.4967697236709547</v>
      </c>
      <c r="N280" s="131">
        <f t="shared" si="242"/>
        <v>6.6882451157429355</v>
      </c>
      <c r="O280" s="131">
        <f t="shared" si="242"/>
        <v>5.6928818028203052</v>
      </c>
      <c r="P280" s="131">
        <f t="shared" si="242"/>
        <v>5.8282351311318461</v>
      </c>
      <c r="Q280" s="131">
        <f t="shared" si="242"/>
        <v>12.377714572836643</v>
      </c>
      <c r="R280" s="131">
        <f t="shared" si="242"/>
        <v>5.1463601532567056</v>
      </c>
      <c r="S280" s="131">
        <f t="shared" si="242"/>
        <v>5.1463601532567056</v>
      </c>
      <c r="T280" s="131">
        <f t="shared" si="242"/>
        <v>5.1463601532567056</v>
      </c>
      <c r="U280" s="131">
        <f t="shared" si="242"/>
        <v>5.1463601532567056</v>
      </c>
      <c r="V280" s="131">
        <f t="shared" si="242"/>
        <v>5.1463601532567056</v>
      </c>
      <c r="W280" s="131">
        <f t="shared" si="242"/>
        <v>5.1463601532567056</v>
      </c>
      <c r="X280" s="131">
        <f t="shared" si="242"/>
        <v>5.1463601532567056</v>
      </c>
      <c r="Y280" s="131">
        <f t="shared" si="242"/>
        <v>5.1463601532567056</v>
      </c>
    </row>
    <row r="281" spans="5:25" x14ac:dyDescent="0.25">
      <c r="J281" s="89"/>
      <c r="K281" s="89"/>
      <c r="L281" s="89"/>
      <c r="M281" s="89"/>
      <c r="N281" s="89"/>
      <c r="O281" s="89"/>
      <c r="P281" s="89"/>
      <c r="Q281" s="89"/>
      <c r="R281" s="89"/>
      <c r="S281" s="89"/>
      <c r="T281" s="89"/>
      <c r="U281" s="89"/>
      <c r="V281" s="89"/>
      <c r="W281" s="89"/>
      <c r="X281" s="89"/>
      <c r="Y281" s="89"/>
    </row>
    <row r="282" spans="5:25" x14ac:dyDescent="0.25">
      <c r="E282" s="32" t="s">
        <v>157</v>
      </c>
      <c r="F282" s="28"/>
      <c r="G282" s="28"/>
      <c r="J282" s="89"/>
      <c r="K282" s="89"/>
      <c r="L282" s="89"/>
      <c r="M282" s="89"/>
      <c r="N282" s="89"/>
      <c r="O282" s="89"/>
      <c r="P282" s="89"/>
      <c r="Q282" s="89"/>
      <c r="R282" s="89"/>
      <c r="S282" s="89"/>
      <c r="T282" s="89"/>
      <c r="U282" s="89"/>
      <c r="V282" s="89"/>
      <c r="W282" s="89"/>
      <c r="X282" s="89"/>
      <c r="Y282" s="89"/>
    </row>
    <row r="283" spans="5:25" x14ac:dyDescent="0.25">
      <c r="F283" s="64" t="s">
        <v>191</v>
      </c>
      <c r="G283" s="64" t="s">
        <v>283</v>
      </c>
      <c r="H283" s="23"/>
      <c r="I283" s="23"/>
      <c r="J283" s="101">
        <f>J240 * J$93</f>
        <v>1.088968582520967</v>
      </c>
      <c r="K283" s="101">
        <f t="shared" ref="K283:Y283" si="243">K240 * K$93</f>
        <v>1.088968582520967</v>
      </c>
      <c r="L283" s="101">
        <f t="shared" si="243"/>
        <v>1.1372038704806549</v>
      </c>
      <c r="M283" s="101">
        <f t="shared" si="243"/>
        <v>1.1372038704806549</v>
      </c>
      <c r="N283" s="101">
        <f t="shared" si="243"/>
        <v>1.0145567374612927</v>
      </c>
      <c r="O283" s="101">
        <f t="shared" si="243"/>
        <v>0.86356757096522108</v>
      </c>
      <c r="P283" s="101">
        <f t="shared" si="243"/>
        <v>0.88409965805231805</v>
      </c>
      <c r="Q283" s="101">
        <f t="shared" si="243"/>
        <v>0.98419171949664397</v>
      </c>
      <c r="R283" s="101">
        <f t="shared" si="243"/>
        <v>0.78066432622198212</v>
      </c>
      <c r="S283" s="101">
        <f t="shared" si="243"/>
        <v>0.78066432622198212</v>
      </c>
      <c r="T283" s="101">
        <f t="shared" si="243"/>
        <v>0.78066432622198212</v>
      </c>
      <c r="U283" s="101">
        <f t="shared" si="243"/>
        <v>0.78066432622198212</v>
      </c>
      <c r="V283" s="101">
        <f t="shared" si="243"/>
        <v>0.78066432622198212</v>
      </c>
      <c r="W283" s="101">
        <f t="shared" si="243"/>
        <v>0.78066432622198212</v>
      </c>
      <c r="X283" s="101">
        <f t="shared" si="243"/>
        <v>0.78066432622198212</v>
      </c>
      <c r="Y283" s="101">
        <f t="shared" si="243"/>
        <v>0.78066432622198212</v>
      </c>
    </row>
    <row r="284" spans="5:25" x14ac:dyDescent="0.25">
      <c r="F284" s="28" t="s">
        <v>192</v>
      </c>
      <c r="G284" s="28" t="s">
        <v>283</v>
      </c>
      <c r="J284" s="121">
        <f t="shared" ref="J284:Y284" si="244">J241 * J$93</f>
        <v>0</v>
      </c>
      <c r="K284" s="121">
        <f t="shared" si="244"/>
        <v>0</v>
      </c>
      <c r="L284" s="121">
        <f t="shared" si="244"/>
        <v>0</v>
      </c>
      <c r="M284" s="121">
        <f t="shared" si="244"/>
        <v>0</v>
      </c>
      <c r="N284" s="121">
        <f t="shared" si="244"/>
        <v>0</v>
      </c>
      <c r="O284" s="121">
        <f t="shared" si="244"/>
        <v>0</v>
      </c>
      <c r="P284" s="121">
        <f t="shared" si="244"/>
        <v>0</v>
      </c>
      <c r="Q284" s="121">
        <f t="shared" si="244"/>
        <v>0</v>
      </c>
      <c r="R284" s="121">
        <f t="shared" si="244"/>
        <v>0</v>
      </c>
      <c r="S284" s="121">
        <f t="shared" si="244"/>
        <v>0</v>
      </c>
      <c r="T284" s="121">
        <f t="shared" si="244"/>
        <v>0</v>
      </c>
      <c r="U284" s="121">
        <f t="shared" si="244"/>
        <v>0</v>
      </c>
      <c r="V284" s="121">
        <f t="shared" si="244"/>
        <v>0</v>
      </c>
      <c r="W284" s="121">
        <f t="shared" si="244"/>
        <v>0</v>
      </c>
      <c r="X284" s="121">
        <f t="shared" si="244"/>
        <v>0</v>
      </c>
      <c r="Y284" s="121">
        <f t="shared" si="244"/>
        <v>0</v>
      </c>
    </row>
    <row r="285" spans="5:25" x14ac:dyDescent="0.25">
      <c r="F285" s="28" t="s">
        <v>193</v>
      </c>
      <c r="G285" s="28" t="s">
        <v>283</v>
      </c>
      <c r="J285" s="121">
        <f t="shared" ref="J285:Y285" si="245">J242 * J$93</f>
        <v>0</v>
      </c>
      <c r="K285" s="121">
        <f t="shared" si="245"/>
        <v>0</v>
      </c>
      <c r="L285" s="121">
        <f t="shared" si="245"/>
        <v>0</v>
      </c>
      <c r="M285" s="121">
        <f t="shared" si="245"/>
        <v>0</v>
      </c>
      <c r="N285" s="121">
        <f t="shared" si="245"/>
        <v>0</v>
      </c>
      <c r="O285" s="121">
        <f t="shared" si="245"/>
        <v>0</v>
      </c>
      <c r="P285" s="121">
        <f t="shared" si="245"/>
        <v>0</v>
      </c>
      <c r="Q285" s="121">
        <f t="shared" si="245"/>
        <v>0</v>
      </c>
      <c r="R285" s="121">
        <f t="shared" si="245"/>
        <v>0</v>
      </c>
      <c r="S285" s="121">
        <f t="shared" si="245"/>
        <v>0</v>
      </c>
      <c r="T285" s="121">
        <f t="shared" si="245"/>
        <v>0</v>
      </c>
      <c r="U285" s="121">
        <f t="shared" si="245"/>
        <v>0</v>
      </c>
      <c r="V285" s="121">
        <f t="shared" si="245"/>
        <v>0</v>
      </c>
      <c r="W285" s="121">
        <f t="shared" si="245"/>
        <v>0</v>
      </c>
      <c r="X285" s="121">
        <f t="shared" si="245"/>
        <v>0</v>
      </c>
      <c r="Y285" s="121">
        <f t="shared" si="245"/>
        <v>0</v>
      </c>
    </row>
    <row r="286" spans="5:25" x14ac:dyDescent="0.25">
      <c r="F286" s="28" t="s">
        <v>194</v>
      </c>
      <c r="G286" s="28" t="s">
        <v>283</v>
      </c>
      <c r="J286" s="121">
        <f t="shared" ref="J286:Y286" si="246">J243 * J$93</f>
        <v>1.1549666784313286</v>
      </c>
      <c r="K286" s="121">
        <f t="shared" si="246"/>
        <v>1.1549666784313286</v>
      </c>
      <c r="L286" s="121">
        <f t="shared" si="246"/>
        <v>1.2061253171764519</v>
      </c>
      <c r="M286" s="121">
        <f t="shared" si="246"/>
        <v>1.2061253171764519</v>
      </c>
      <c r="N286" s="121">
        <f t="shared" si="246"/>
        <v>1.0760450245801589</v>
      </c>
      <c r="O286" s="121">
        <f t="shared" si="246"/>
        <v>0.91590499950856774</v>
      </c>
      <c r="P286" s="121">
        <f t="shared" si="246"/>
        <v>0.93768145551003423</v>
      </c>
      <c r="Q286" s="121">
        <f t="shared" si="246"/>
        <v>1.0986326171125327</v>
      </c>
      <c r="R286" s="121">
        <f t="shared" si="246"/>
        <v>0.82797731568998101</v>
      </c>
      <c r="S286" s="121">
        <f t="shared" si="246"/>
        <v>0.82797731568998101</v>
      </c>
      <c r="T286" s="121">
        <f t="shared" si="246"/>
        <v>0.82797731568998101</v>
      </c>
      <c r="U286" s="121">
        <f t="shared" si="246"/>
        <v>0.82797731568998101</v>
      </c>
      <c r="V286" s="121">
        <f t="shared" si="246"/>
        <v>0.82797731568998101</v>
      </c>
      <c r="W286" s="121">
        <f t="shared" si="246"/>
        <v>0.82797731568998101</v>
      </c>
      <c r="X286" s="121">
        <f t="shared" si="246"/>
        <v>0.82797731568998101</v>
      </c>
      <c r="Y286" s="121">
        <f t="shared" si="246"/>
        <v>0.82797731568998101</v>
      </c>
    </row>
    <row r="287" spans="5:25" x14ac:dyDescent="0.25">
      <c r="F287" s="28" t="s">
        <v>195</v>
      </c>
      <c r="G287" s="28" t="s">
        <v>283</v>
      </c>
      <c r="J287" s="121">
        <f t="shared" ref="J287:Y287" si="247">J244 * J$93</f>
        <v>1.1549666784313286</v>
      </c>
      <c r="K287" s="121">
        <f t="shared" si="247"/>
        <v>1.1549666784313286</v>
      </c>
      <c r="L287" s="121">
        <f t="shared" si="247"/>
        <v>1.2061253171764519</v>
      </c>
      <c r="M287" s="121">
        <f t="shared" si="247"/>
        <v>1.2061253171764519</v>
      </c>
      <c r="N287" s="121">
        <f t="shared" si="247"/>
        <v>1.0760450245801589</v>
      </c>
      <c r="O287" s="121">
        <f t="shared" si="247"/>
        <v>0.91590499950856774</v>
      </c>
      <c r="P287" s="121">
        <f t="shared" si="247"/>
        <v>0.93768145551003423</v>
      </c>
      <c r="Q287" s="121">
        <f t="shared" si="247"/>
        <v>1.0986326171125327</v>
      </c>
      <c r="R287" s="121">
        <f t="shared" si="247"/>
        <v>0.82797731568998101</v>
      </c>
      <c r="S287" s="121">
        <f t="shared" si="247"/>
        <v>0.82797731568998101</v>
      </c>
      <c r="T287" s="121">
        <f t="shared" si="247"/>
        <v>0.82797731568998101</v>
      </c>
      <c r="U287" s="121">
        <f t="shared" si="247"/>
        <v>0.82797731568998101</v>
      </c>
      <c r="V287" s="121">
        <f t="shared" si="247"/>
        <v>0.82797731568998101</v>
      </c>
      <c r="W287" s="121">
        <f t="shared" si="247"/>
        <v>0.82797731568998101</v>
      </c>
      <c r="X287" s="121">
        <f t="shared" si="247"/>
        <v>0.82797731568998101</v>
      </c>
      <c r="Y287" s="121">
        <f t="shared" si="247"/>
        <v>0.82797731568998101</v>
      </c>
    </row>
    <row r="288" spans="5:25" x14ac:dyDescent="0.25">
      <c r="F288" s="28" t="s">
        <v>196</v>
      </c>
      <c r="G288" s="28" t="s">
        <v>283</v>
      </c>
      <c r="J288" s="121">
        <f t="shared" ref="J288:Y288" si="248">J245 * J$93</f>
        <v>0</v>
      </c>
      <c r="K288" s="121">
        <f t="shared" si="248"/>
        <v>0</v>
      </c>
      <c r="L288" s="121">
        <f t="shared" si="248"/>
        <v>0</v>
      </c>
      <c r="M288" s="121">
        <f t="shared" si="248"/>
        <v>0</v>
      </c>
      <c r="N288" s="121">
        <f t="shared" si="248"/>
        <v>0</v>
      </c>
      <c r="O288" s="121">
        <f t="shared" si="248"/>
        <v>0</v>
      </c>
      <c r="P288" s="121">
        <f t="shared" si="248"/>
        <v>0</v>
      </c>
      <c r="Q288" s="121">
        <f t="shared" si="248"/>
        <v>0</v>
      </c>
      <c r="R288" s="121">
        <f t="shared" si="248"/>
        <v>0</v>
      </c>
      <c r="S288" s="121">
        <f t="shared" si="248"/>
        <v>0</v>
      </c>
      <c r="T288" s="121">
        <f t="shared" si="248"/>
        <v>0</v>
      </c>
      <c r="U288" s="121">
        <f t="shared" si="248"/>
        <v>0</v>
      </c>
      <c r="V288" s="121">
        <f t="shared" si="248"/>
        <v>0</v>
      </c>
      <c r="W288" s="121">
        <f t="shared" si="248"/>
        <v>0</v>
      </c>
      <c r="X288" s="121">
        <f t="shared" si="248"/>
        <v>0</v>
      </c>
      <c r="Y288" s="121">
        <f t="shared" si="248"/>
        <v>0</v>
      </c>
    </row>
    <row r="289" spans="2:27" x14ac:dyDescent="0.25">
      <c r="F289" s="28" t="s">
        <v>197</v>
      </c>
      <c r="G289" s="28" t="s">
        <v>283</v>
      </c>
      <c r="J289" s="121">
        <f t="shared" ref="J289:Y289" si="249">J246 * J$93</f>
        <v>1.1549666784313286</v>
      </c>
      <c r="K289" s="121">
        <f t="shared" si="249"/>
        <v>1.1549666784313286</v>
      </c>
      <c r="L289" s="121">
        <f t="shared" si="249"/>
        <v>1.2061253171764519</v>
      </c>
      <c r="M289" s="121">
        <f t="shared" si="249"/>
        <v>1.2061253171764519</v>
      </c>
      <c r="N289" s="121">
        <f t="shared" si="249"/>
        <v>1.0760450245801589</v>
      </c>
      <c r="O289" s="121">
        <f t="shared" si="249"/>
        <v>0.91590499950856774</v>
      </c>
      <c r="P289" s="121">
        <f t="shared" si="249"/>
        <v>0.93768145551003423</v>
      </c>
      <c r="Q289" s="121">
        <f t="shared" si="249"/>
        <v>1.0986326171125327</v>
      </c>
      <c r="R289" s="121">
        <f t="shared" si="249"/>
        <v>0.82797731568998101</v>
      </c>
      <c r="S289" s="121">
        <f t="shared" si="249"/>
        <v>0.82797731568998101</v>
      </c>
      <c r="T289" s="121">
        <f t="shared" si="249"/>
        <v>0.82797731568998101</v>
      </c>
      <c r="U289" s="121">
        <f t="shared" si="249"/>
        <v>0.82797731568998101</v>
      </c>
      <c r="V289" s="121">
        <f t="shared" si="249"/>
        <v>0.82797731568998101</v>
      </c>
      <c r="W289" s="121">
        <f t="shared" si="249"/>
        <v>0.82797731568998101</v>
      </c>
      <c r="X289" s="121">
        <f t="shared" si="249"/>
        <v>0.82797731568998101</v>
      </c>
      <c r="Y289" s="121">
        <f t="shared" si="249"/>
        <v>0.82797731568998101</v>
      </c>
    </row>
    <row r="290" spans="2:27" x14ac:dyDescent="0.25">
      <c r="F290" s="28" t="s">
        <v>198</v>
      </c>
      <c r="G290" s="28" t="s">
        <v>283</v>
      </c>
      <c r="J290" s="121">
        <f t="shared" ref="J290:Y290" si="250">J247 * J$93</f>
        <v>1.1549666784313286</v>
      </c>
      <c r="K290" s="121">
        <f t="shared" si="250"/>
        <v>1.1549666784313286</v>
      </c>
      <c r="L290" s="121">
        <f t="shared" si="250"/>
        <v>1.2061253171764519</v>
      </c>
      <c r="M290" s="121">
        <f t="shared" si="250"/>
        <v>1.2061253171764519</v>
      </c>
      <c r="N290" s="121">
        <f t="shared" si="250"/>
        <v>1.0760450245801589</v>
      </c>
      <c r="O290" s="121">
        <f t="shared" si="250"/>
        <v>0.91590499950856774</v>
      </c>
      <c r="P290" s="121">
        <f t="shared" si="250"/>
        <v>0.93768145551003423</v>
      </c>
      <c r="Q290" s="121">
        <f t="shared" si="250"/>
        <v>1.0986326171125327</v>
      </c>
      <c r="R290" s="121">
        <f t="shared" si="250"/>
        <v>0.82797731568998101</v>
      </c>
      <c r="S290" s="121">
        <f t="shared" si="250"/>
        <v>0.82797731568998101</v>
      </c>
      <c r="T290" s="121">
        <f t="shared" si="250"/>
        <v>0.82797731568998101</v>
      </c>
      <c r="U290" s="121">
        <f t="shared" si="250"/>
        <v>0.82797731568998101</v>
      </c>
      <c r="V290" s="121">
        <f t="shared" si="250"/>
        <v>0.82797731568998101</v>
      </c>
      <c r="W290" s="121">
        <f t="shared" si="250"/>
        <v>0.82797731568998101</v>
      </c>
      <c r="X290" s="121">
        <f t="shared" si="250"/>
        <v>0.82797731568998101</v>
      </c>
      <c r="Y290" s="121">
        <f t="shared" si="250"/>
        <v>0.82797731568998101</v>
      </c>
    </row>
    <row r="291" spans="2:27" x14ac:dyDescent="0.25">
      <c r="F291" s="67" t="s">
        <v>199</v>
      </c>
      <c r="G291" s="67" t="s">
        <v>283</v>
      </c>
      <c r="H291" s="37"/>
      <c r="I291" s="37"/>
      <c r="J291" s="131">
        <f t="shared" ref="J291:Y291" si="251">J248 * J$93</f>
        <v>1.1549666784313286</v>
      </c>
      <c r="K291" s="131">
        <f t="shared" si="251"/>
        <v>1.1549666784313286</v>
      </c>
      <c r="L291" s="131">
        <f t="shared" si="251"/>
        <v>1.2061253171764519</v>
      </c>
      <c r="M291" s="131">
        <f t="shared" si="251"/>
        <v>1.2061253171764519</v>
      </c>
      <c r="N291" s="131">
        <f t="shared" si="251"/>
        <v>1.0760450245801589</v>
      </c>
      <c r="O291" s="131">
        <f t="shared" si="251"/>
        <v>0.91590499950856774</v>
      </c>
      <c r="P291" s="131">
        <f t="shared" si="251"/>
        <v>0.93768145551003423</v>
      </c>
      <c r="Q291" s="131">
        <f t="shared" si="251"/>
        <v>1.0986326171125327</v>
      </c>
      <c r="R291" s="131">
        <f t="shared" si="251"/>
        <v>0.82797731568998101</v>
      </c>
      <c r="S291" s="131">
        <f t="shared" si="251"/>
        <v>0.82797731568998101</v>
      </c>
      <c r="T291" s="131">
        <f t="shared" si="251"/>
        <v>0.82797731568998101</v>
      </c>
      <c r="U291" s="131">
        <f t="shared" si="251"/>
        <v>0.82797731568998101</v>
      </c>
      <c r="V291" s="131">
        <f t="shared" si="251"/>
        <v>0.82797731568998101</v>
      </c>
      <c r="W291" s="131">
        <f t="shared" si="251"/>
        <v>0.82797731568998101</v>
      </c>
      <c r="X291" s="131">
        <f t="shared" si="251"/>
        <v>0.82797731568998101</v>
      </c>
      <c r="Y291" s="131">
        <f t="shared" si="251"/>
        <v>0.82797731568998101</v>
      </c>
    </row>
    <row r="292" spans="2:27" x14ac:dyDescent="0.25">
      <c r="J292" s="89"/>
      <c r="K292" s="89"/>
      <c r="L292" s="89"/>
      <c r="M292" s="89"/>
      <c r="N292" s="89"/>
      <c r="O292" s="89"/>
      <c r="P292" s="89"/>
      <c r="Q292" s="89"/>
      <c r="R292" s="89"/>
      <c r="S292" s="89"/>
      <c r="T292" s="89"/>
      <c r="U292" s="89"/>
      <c r="V292" s="89"/>
      <c r="W292" s="89"/>
      <c r="X292" s="89"/>
      <c r="Y292" s="89"/>
    </row>
    <row r="293" spans="2:27" x14ac:dyDescent="0.25">
      <c r="E293" s="32" t="s">
        <v>158</v>
      </c>
      <c r="F293" s="28"/>
      <c r="G293" s="28"/>
      <c r="J293" s="89"/>
      <c r="K293" s="89"/>
      <c r="L293" s="89"/>
      <c r="M293" s="89"/>
      <c r="N293" s="89"/>
      <c r="O293" s="89"/>
      <c r="P293" s="89"/>
      <c r="Q293" s="89"/>
      <c r="R293" s="89"/>
      <c r="S293" s="89"/>
      <c r="T293" s="89"/>
      <c r="U293" s="89"/>
      <c r="V293" s="89"/>
      <c r="W293" s="89"/>
      <c r="X293" s="89"/>
      <c r="Y293" s="89"/>
    </row>
    <row r="294" spans="2:27" x14ac:dyDescent="0.25">
      <c r="F294" s="64" t="s">
        <v>191</v>
      </c>
      <c r="G294" s="64" t="s">
        <v>283</v>
      </c>
      <c r="H294" s="23"/>
      <c r="I294" s="23"/>
      <c r="J294" s="101">
        <f>J251 * J$93</f>
        <v>0.45744679299217433</v>
      </c>
      <c r="K294" s="101">
        <f t="shared" ref="K294:Y294" si="252">K251 * K$93</f>
        <v>0.45744679299217433</v>
      </c>
      <c r="L294" s="101">
        <f t="shared" si="252"/>
        <v>0.47770915697620447</v>
      </c>
      <c r="M294" s="101">
        <f t="shared" si="252"/>
        <v>0.47770915697620447</v>
      </c>
      <c r="N294" s="101">
        <f t="shared" si="252"/>
        <v>0.42618835227171104</v>
      </c>
      <c r="O294" s="101">
        <f t="shared" si="252"/>
        <v>0.3627618116911801</v>
      </c>
      <c r="P294" s="101">
        <f t="shared" si="252"/>
        <v>0.37138679641726391</v>
      </c>
      <c r="Q294" s="101">
        <f t="shared" si="252"/>
        <v>0.3622694357472927</v>
      </c>
      <c r="R294" s="101">
        <f t="shared" si="252"/>
        <v>0.32793635938231164</v>
      </c>
      <c r="S294" s="101">
        <f t="shared" si="252"/>
        <v>0.32793635938231164</v>
      </c>
      <c r="T294" s="101">
        <f t="shared" si="252"/>
        <v>0.32793635938231164</v>
      </c>
      <c r="U294" s="101">
        <f t="shared" si="252"/>
        <v>0.32793635938231164</v>
      </c>
      <c r="V294" s="101">
        <f t="shared" si="252"/>
        <v>0.32793635938231164</v>
      </c>
      <c r="W294" s="101">
        <f t="shared" si="252"/>
        <v>0.32793635938231164</v>
      </c>
      <c r="X294" s="101">
        <f t="shared" si="252"/>
        <v>0.32793635938231164</v>
      </c>
      <c r="Y294" s="101">
        <f t="shared" si="252"/>
        <v>0.32793635938231164</v>
      </c>
    </row>
    <row r="295" spans="2:27" x14ac:dyDescent="0.25">
      <c r="F295" s="28" t="s">
        <v>192</v>
      </c>
      <c r="G295" s="28" t="s">
        <v>283</v>
      </c>
      <c r="J295" s="121">
        <f t="shared" ref="J295:Y295" si="253">J252 * J$93</f>
        <v>0</v>
      </c>
      <c r="K295" s="121">
        <f t="shared" si="253"/>
        <v>0</v>
      </c>
      <c r="L295" s="121">
        <f t="shared" si="253"/>
        <v>0</v>
      </c>
      <c r="M295" s="121">
        <f t="shared" si="253"/>
        <v>0</v>
      </c>
      <c r="N295" s="121">
        <f t="shared" si="253"/>
        <v>0</v>
      </c>
      <c r="O295" s="121">
        <f t="shared" si="253"/>
        <v>0</v>
      </c>
      <c r="P295" s="121">
        <f t="shared" si="253"/>
        <v>0</v>
      </c>
      <c r="Q295" s="121">
        <f t="shared" si="253"/>
        <v>0</v>
      </c>
      <c r="R295" s="121">
        <f t="shared" si="253"/>
        <v>0</v>
      </c>
      <c r="S295" s="121">
        <f t="shared" si="253"/>
        <v>0</v>
      </c>
      <c r="T295" s="121">
        <f t="shared" si="253"/>
        <v>0</v>
      </c>
      <c r="U295" s="121">
        <f t="shared" si="253"/>
        <v>0</v>
      </c>
      <c r="V295" s="121">
        <f t="shared" si="253"/>
        <v>0</v>
      </c>
      <c r="W295" s="121">
        <f t="shared" si="253"/>
        <v>0</v>
      </c>
      <c r="X295" s="121">
        <f t="shared" si="253"/>
        <v>0</v>
      </c>
      <c r="Y295" s="121">
        <f t="shared" si="253"/>
        <v>0</v>
      </c>
    </row>
    <row r="296" spans="2:27" x14ac:dyDescent="0.25">
      <c r="F296" s="28" t="s">
        <v>193</v>
      </c>
      <c r="G296" s="28" t="s">
        <v>283</v>
      </c>
      <c r="J296" s="121">
        <f t="shared" ref="J296:Y296" si="254">J253 * J$93</f>
        <v>0</v>
      </c>
      <c r="K296" s="121">
        <f t="shared" si="254"/>
        <v>0</v>
      </c>
      <c r="L296" s="121">
        <f t="shared" si="254"/>
        <v>0</v>
      </c>
      <c r="M296" s="121">
        <f t="shared" si="254"/>
        <v>0</v>
      </c>
      <c r="N296" s="121">
        <f t="shared" si="254"/>
        <v>0</v>
      </c>
      <c r="O296" s="121">
        <f t="shared" si="254"/>
        <v>0</v>
      </c>
      <c r="P296" s="121">
        <f t="shared" si="254"/>
        <v>0</v>
      </c>
      <c r="Q296" s="121">
        <f t="shared" si="254"/>
        <v>0</v>
      </c>
      <c r="R296" s="121">
        <f t="shared" si="254"/>
        <v>0</v>
      </c>
      <c r="S296" s="121">
        <f t="shared" si="254"/>
        <v>0</v>
      </c>
      <c r="T296" s="121">
        <f t="shared" si="254"/>
        <v>0</v>
      </c>
      <c r="U296" s="121">
        <f t="shared" si="254"/>
        <v>0</v>
      </c>
      <c r="V296" s="121">
        <f t="shared" si="254"/>
        <v>0</v>
      </c>
      <c r="W296" s="121">
        <f t="shared" si="254"/>
        <v>0</v>
      </c>
      <c r="X296" s="121">
        <f t="shared" si="254"/>
        <v>0</v>
      </c>
      <c r="Y296" s="121">
        <f t="shared" si="254"/>
        <v>0</v>
      </c>
    </row>
    <row r="297" spans="2:27" x14ac:dyDescent="0.25">
      <c r="F297" s="28" t="s">
        <v>194</v>
      </c>
      <c r="G297" s="28" t="s">
        <v>283</v>
      </c>
      <c r="J297" s="121">
        <f t="shared" ref="J297:Y297" si="255">J254 * J$93</f>
        <v>0.54321806667820716</v>
      </c>
      <c r="K297" s="121">
        <f t="shared" si="255"/>
        <v>0.54321806667820716</v>
      </c>
      <c r="L297" s="121">
        <f t="shared" si="255"/>
        <v>0.56727962390924291</v>
      </c>
      <c r="M297" s="121">
        <f t="shared" si="255"/>
        <v>0.56727962390924291</v>
      </c>
      <c r="N297" s="121">
        <f t="shared" si="255"/>
        <v>0.50609866832265693</v>
      </c>
      <c r="O297" s="121">
        <f t="shared" si="255"/>
        <v>0.4307796513832764</v>
      </c>
      <c r="P297" s="121">
        <f t="shared" si="255"/>
        <v>0.441021820745501</v>
      </c>
      <c r="Q297" s="121">
        <f t="shared" si="255"/>
        <v>0.43019495494991017</v>
      </c>
      <c r="R297" s="121">
        <f t="shared" si="255"/>
        <v>0.38942442676649514</v>
      </c>
      <c r="S297" s="121">
        <f t="shared" si="255"/>
        <v>0.38942442676649514</v>
      </c>
      <c r="T297" s="121">
        <f t="shared" si="255"/>
        <v>0.38942442676649514</v>
      </c>
      <c r="U297" s="121">
        <f t="shared" si="255"/>
        <v>0.38942442676649514</v>
      </c>
      <c r="V297" s="121">
        <f t="shared" si="255"/>
        <v>0.38942442676649514</v>
      </c>
      <c r="W297" s="121">
        <f t="shared" si="255"/>
        <v>0.38942442676649514</v>
      </c>
      <c r="X297" s="121">
        <f t="shared" si="255"/>
        <v>0.38942442676649514</v>
      </c>
      <c r="Y297" s="121">
        <f t="shared" si="255"/>
        <v>0.38942442676649514</v>
      </c>
    </row>
    <row r="298" spans="2:27" x14ac:dyDescent="0.25">
      <c r="F298" s="28" t="s">
        <v>195</v>
      </c>
      <c r="G298" s="28" t="s">
        <v>283</v>
      </c>
      <c r="J298" s="121">
        <f t="shared" ref="J298:Y298" si="256">J255 * J$93</f>
        <v>0.54321806667820716</v>
      </c>
      <c r="K298" s="121">
        <f t="shared" si="256"/>
        <v>0.54321806667820716</v>
      </c>
      <c r="L298" s="121">
        <f t="shared" si="256"/>
        <v>0.56727962390924291</v>
      </c>
      <c r="M298" s="121">
        <f t="shared" si="256"/>
        <v>0.56727962390924291</v>
      </c>
      <c r="N298" s="121">
        <f t="shared" si="256"/>
        <v>0.50609866832265693</v>
      </c>
      <c r="O298" s="121">
        <f t="shared" si="256"/>
        <v>0.4307796513832764</v>
      </c>
      <c r="P298" s="121">
        <f t="shared" si="256"/>
        <v>0.441021820745501</v>
      </c>
      <c r="Q298" s="121">
        <f t="shared" si="256"/>
        <v>0.43019495494991017</v>
      </c>
      <c r="R298" s="121">
        <f t="shared" si="256"/>
        <v>0.38942442676649514</v>
      </c>
      <c r="S298" s="121">
        <f t="shared" si="256"/>
        <v>0.38942442676649514</v>
      </c>
      <c r="T298" s="121">
        <f t="shared" si="256"/>
        <v>0.38942442676649514</v>
      </c>
      <c r="U298" s="121">
        <f t="shared" si="256"/>
        <v>0.38942442676649514</v>
      </c>
      <c r="V298" s="121">
        <f t="shared" si="256"/>
        <v>0.38942442676649514</v>
      </c>
      <c r="W298" s="121">
        <f t="shared" si="256"/>
        <v>0.38942442676649514</v>
      </c>
      <c r="X298" s="121">
        <f t="shared" si="256"/>
        <v>0.38942442676649514</v>
      </c>
      <c r="Y298" s="121">
        <f t="shared" si="256"/>
        <v>0.38942442676649514</v>
      </c>
    </row>
    <row r="299" spans="2:27" x14ac:dyDescent="0.25">
      <c r="F299" s="28" t="s">
        <v>196</v>
      </c>
      <c r="G299" s="28" t="s">
        <v>283</v>
      </c>
      <c r="J299" s="121">
        <f t="shared" ref="J299:Y299" si="257">J256 * J$93</f>
        <v>0</v>
      </c>
      <c r="K299" s="121">
        <f t="shared" si="257"/>
        <v>0</v>
      </c>
      <c r="L299" s="121">
        <f t="shared" si="257"/>
        <v>0</v>
      </c>
      <c r="M299" s="121">
        <f t="shared" si="257"/>
        <v>0</v>
      </c>
      <c r="N299" s="121">
        <f t="shared" si="257"/>
        <v>0</v>
      </c>
      <c r="O299" s="121">
        <f t="shared" si="257"/>
        <v>0</v>
      </c>
      <c r="P299" s="121">
        <f t="shared" si="257"/>
        <v>0</v>
      </c>
      <c r="Q299" s="121">
        <f t="shared" si="257"/>
        <v>0</v>
      </c>
      <c r="R299" s="121">
        <f t="shared" si="257"/>
        <v>0</v>
      </c>
      <c r="S299" s="121">
        <f t="shared" si="257"/>
        <v>0</v>
      </c>
      <c r="T299" s="121">
        <f t="shared" si="257"/>
        <v>0</v>
      </c>
      <c r="U299" s="121">
        <f t="shared" si="257"/>
        <v>0</v>
      </c>
      <c r="V299" s="121">
        <f t="shared" si="257"/>
        <v>0</v>
      </c>
      <c r="W299" s="121">
        <f t="shared" si="257"/>
        <v>0</v>
      </c>
      <c r="X299" s="121">
        <f t="shared" si="257"/>
        <v>0</v>
      </c>
      <c r="Y299" s="121">
        <f t="shared" si="257"/>
        <v>0</v>
      </c>
    </row>
    <row r="300" spans="2:27" x14ac:dyDescent="0.25">
      <c r="F300" s="28" t="s">
        <v>197</v>
      </c>
      <c r="G300" s="28" t="s">
        <v>283</v>
      </c>
      <c r="J300" s="121">
        <f t="shared" ref="J300:Y300" si="258">J257 * J$93</f>
        <v>0.54321806667820716</v>
      </c>
      <c r="K300" s="121">
        <f t="shared" si="258"/>
        <v>0.54321806667820716</v>
      </c>
      <c r="L300" s="121">
        <f t="shared" si="258"/>
        <v>0.56727962390924291</v>
      </c>
      <c r="M300" s="121">
        <f t="shared" si="258"/>
        <v>0.56727962390924291</v>
      </c>
      <c r="N300" s="121">
        <f t="shared" si="258"/>
        <v>0.50609866832265693</v>
      </c>
      <c r="O300" s="121">
        <f t="shared" si="258"/>
        <v>0.4307796513832764</v>
      </c>
      <c r="P300" s="121">
        <f t="shared" si="258"/>
        <v>0.441021820745501</v>
      </c>
      <c r="Q300" s="121">
        <f t="shared" si="258"/>
        <v>0.43019495494991017</v>
      </c>
      <c r="R300" s="121">
        <f t="shared" si="258"/>
        <v>0.38942442676649514</v>
      </c>
      <c r="S300" s="121">
        <f t="shared" si="258"/>
        <v>0.38942442676649514</v>
      </c>
      <c r="T300" s="121">
        <f t="shared" si="258"/>
        <v>0.38942442676649514</v>
      </c>
      <c r="U300" s="121">
        <f t="shared" si="258"/>
        <v>0.38942442676649514</v>
      </c>
      <c r="V300" s="121">
        <f t="shared" si="258"/>
        <v>0.38942442676649514</v>
      </c>
      <c r="W300" s="121">
        <f t="shared" si="258"/>
        <v>0.38942442676649514</v>
      </c>
      <c r="X300" s="121">
        <f t="shared" si="258"/>
        <v>0.38942442676649514</v>
      </c>
      <c r="Y300" s="121">
        <f t="shared" si="258"/>
        <v>0.38942442676649514</v>
      </c>
    </row>
    <row r="301" spans="2:27" x14ac:dyDescent="0.25">
      <c r="F301" s="28" t="s">
        <v>198</v>
      </c>
      <c r="G301" s="28" t="s">
        <v>283</v>
      </c>
      <c r="J301" s="121">
        <f t="shared" ref="J301:Y301" si="259">J258 * J$93</f>
        <v>0.54321806667820716</v>
      </c>
      <c r="K301" s="121">
        <f t="shared" si="259"/>
        <v>0.54321806667820716</v>
      </c>
      <c r="L301" s="121">
        <f t="shared" si="259"/>
        <v>0.56727962390924291</v>
      </c>
      <c r="M301" s="121">
        <f t="shared" si="259"/>
        <v>0.56727962390924291</v>
      </c>
      <c r="N301" s="121">
        <f t="shared" si="259"/>
        <v>0.50609866832265693</v>
      </c>
      <c r="O301" s="121">
        <f t="shared" si="259"/>
        <v>0.4307796513832764</v>
      </c>
      <c r="P301" s="121">
        <f t="shared" si="259"/>
        <v>0.441021820745501</v>
      </c>
      <c r="Q301" s="121">
        <f t="shared" si="259"/>
        <v>0.43019495494991017</v>
      </c>
      <c r="R301" s="121">
        <f t="shared" si="259"/>
        <v>0.38942442676649514</v>
      </c>
      <c r="S301" s="121">
        <f t="shared" si="259"/>
        <v>0.38942442676649514</v>
      </c>
      <c r="T301" s="121">
        <f t="shared" si="259"/>
        <v>0.38942442676649514</v>
      </c>
      <c r="U301" s="121">
        <f t="shared" si="259"/>
        <v>0.38942442676649514</v>
      </c>
      <c r="V301" s="121">
        <f t="shared" si="259"/>
        <v>0.38942442676649514</v>
      </c>
      <c r="W301" s="121">
        <f t="shared" si="259"/>
        <v>0.38942442676649514</v>
      </c>
      <c r="X301" s="121">
        <f t="shared" si="259"/>
        <v>0.38942442676649514</v>
      </c>
      <c r="Y301" s="121">
        <f t="shared" si="259"/>
        <v>0.38942442676649514</v>
      </c>
    </row>
    <row r="302" spans="2:27" x14ac:dyDescent="0.25">
      <c r="F302" s="67" t="s">
        <v>199</v>
      </c>
      <c r="G302" s="67" t="s">
        <v>283</v>
      </c>
      <c r="H302" s="37"/>
      <c r="I302" s="37"/>
      <c r="J302" s="131">
        <f t="shared" ref="J302:Y302" si="260">J259 * J$93</f>
        <v>0.54321806667820716</v>
      </c>
      <c r="K302" s="131">
        <f t="shared" si="260"/>
        <v>0.54321806667820716</v>
      </c>
      <c r="L302" s="131">
        <f t="shared" si="260"/>
        <v>0.56727962390924291</v>
      </c>
      <c r="M302" s="131">
        <f t="shared" si="260"/>
        <v>0.56727962390924291</v>
      </c>
      <c r="N302" s="131">
        <f t="shared" si="260"/>
        <v>0.50609866832265693</v>
      </c>
      <c r="O302" s="131">
        <f t="shared" si="260"/>
        <v>0.4307796513832764</v>
      </c>
      <c r="P302" s="131">
        <f t="shared" si="260"/>
        <v>0.441021820745501</v>
      </c>
      <c r="Q302" s="131">
        <f t="shared" si="260"/>
        <v>0.43019495494991017</v>
      </c>
      <c r="R302" s="131">
        <f t="shared" si="260"/>
        <v>0.38942442676649514</v>
      </c>
      <c r="S302" s="131">
        <f t="shared" si="260"/>
        <v>0.38942442676649514</v>
      </c>
      <c r="T302" s="131">
        <f t="shared" si="260"/>
        <v>0.38942442676649514</v>
      </c>
      <c r="U302" s="131">
        <f t="shared" si="260"/>
        <v>0.38942442676649514</v>
      </c>
      <c r="V302" s="131">
        <f t="shared" si="260"/>
        <v>0.38942442676649514</v>
      </c>
      <c r="W302" s="131">
        <f t="shared" si="260"/>
        <v>0.38942442676649514</v>
      </c>
      <c r="X302" s="131">
        <f t="shared" si="260"/>
        <v>0.38942442676649514</v>
      </c>
      <c r="Y302" s="131">
        <f t="shared" si="260"/>
        <v>0.38942442676649514</v>
      </c>
    </row>
    <row r="304" spans="2:27" x14ac:dyDescent="0.25">
      <c r="B304" s="30" t="s">
        <v>231</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25">
      <c r="E306" t="s">
        <v>232</v>
      </c>
      <c r="G306" s="6" t="s">
        <v>55</v>
      </c>
      <c r="H306" s="26">
        <f t="array" ref="H306">SUM(IF(ISERROR(H20:Y302), 1))</f>
        <v>0</v>
      </c>
    </row>
    <row r="308" spans="2:27" x14ac:dyDescent="0.25">
      <c r="B308" s="30" t="s">
        <v>106</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H306">
    <cfRule type="cellIs" dxfId="154" priority="10" operator="greaterThan">
      <formula>0</formula>
    </cfRule>
  </conditionalFormatting>
  <conditionalFormatting sqref="A4:I4 Z4:XFD4">
    <cfRule type="expression" dxfId="153" priority="9">
      <formula>LEFT($A$4,1) &lt;&gt; "0"</formula>
    </cfRule>
  </conditionalFormatting>
  <conditionalFormatting sqref="N4:P4">
    <cfRule type="expression" dxfId="152" priority="8">
      <formula>LEFT($A$4,1) &lt;&gt; "0"</formula>
    </cfRule>
  </conditionalFormatting>
  <conditionalFormatting sqref="L4:M4">
    <cfRule type="expression" dxfId="151" priority="7">
      <formula>LEFT($A$4,1) &lt;&gt; "0"</formula>
    </cfRule>
  </conditionalFormatting>
  <conditionalFormatting sqref="J4:K4">
    <cfRule type="expression" dxfId="150" priority="6">
      <formula>LEFT($A$4,1) &lt;&gt; "0"</formula>
    </cfRule>
  </conditionalFormatting>
  <conditionalFormatting sqref="Q4">
    <cfRule type="expression" dxfId="149" priority="5">
      <formula>LEFT($A$4,1) &lt;&gt; "0"</formula>
    </cfRule>
  </conditionalFormatting>
  <conditionalFormatting sqref="R4:S4">
    <cfRule type="expression" dxfId="148" priority="4">
      <formula>LEFT($A$4,1) &lt;&gt; "0"</formula>
    </cfRule>
  </conditionalFormatting>
  <conditionalFormatting sqref="T4:U4">
    <cfRule type="expression" dxfId="147" priority="3">
      <formula>LEFT($A$4,1) &lt;&gt; "0"</formula>
    </cfRule>
  </conditionalFormatting>
  <conditionalFormatting sqref="V4:W4">
    <cfRule type="expression" dxfId="146" priority="2">
      <formula>LEFT($A$4,1) &lt;&gt; "0"</formula>
    </cfRule>
  </conditionalFormatting>
  <conditionalFormatting sqref="X4:Y4">
    <cfRule type="expression" dxfId="145" priority="1">
      <formula>LEFT($A$4,1) &lt;&gt; "0"</formula>
    </cfRule>
  </conditionalFormatting>
  <hyperlinks>
    <hyperlink ref="B5:F5" location="'Model map'!A1" display="Click here to return to model map" xr:uid="{00000000-0004-0000-0D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4" tint="0.59999389629810485"/>
    <pageSetUpPr fitToPage="1"/>
  </sheetPr>
  <dimension ref="A1:LH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System peak demand</v>
      </c>
    </row>
    <row r="2" spans="1:43" s="1" customFormat="1" x14ac:dyDescent="0.25">
      <c r="A2" s="1" t="str">
        <f>Cover!D21&amp;" - "&amp;Cover!D23</f>
        <v xml:space="preserve">SHEPD  - Final </v>
      </c>
    </row>
    <row r="3" spans="1:43" s="5" customFormat="1" x14ac:dyDescent="0.25">
      <c r="A3" s="5" t="str">
        <f>Cover!D2&amp;" - "&amp;Cover!D8&amp;" v"&amp;Cover!D10&amp;" - "&amp;Cover!D19</f>
        <v>CDCM charging model - Release for charge setting v5 - 2021/22</v>
      </c>
    </row>
    <row r="4" spans="1:43" x14ac:dyDescent="0.25">
      <c r="A4" s="12" t="str">
        <f>H281 &amp; IF(H281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490</v>
      </c>
      <c r="D9" s="29"/>
    </row>
    <row r="10" spans="1:43" x14ac:dyDescent="0.25">
      <c r="C10" s="29" t="s">
        <v>491</v>
      </c>
      <c r="D10" s="29"/>
    </row>
    <row r="11" spans="1:43" x14ac:dyDescent="0.25">
      <c r="C11" s="29" t="s">
        <v>492</v>
      </c>
      <c r="D11" s="29"/>
    </row>
    <row r="12" spans="1:43" x14ac:dyDescent="0.25">
      <c r="C12" s="29"/>
      <c r="D12" s="29" t="s">
        <v>493</v>
      </c>
    </row>
    <row r="13" spans="1:43" x14ac:dyDescent="0.25">
      <c r="C13" s="29"/>
      <c r="D13" s="29" t="s">
        <v>494</v>
      </c>
    </row>
    <row r="14" spans="1:43" x14ac:dyDescent="0.25">
      <c r="C14" s="29"/>
      <c r="D14" s="29" t="s">
        <v>495</v>
      </c>
    </row>
    <row r="16" spans="1:43" x14ac:dyDescent="0.25">
      <c r="B16" s="30" t="s">
        <v>496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25">
      <c r="C17" s="32"/>
      <c r="AQ17" s="3"/>
    </row>
    <row r="18" spans="3:43" x14ac:dyDescent="0.25">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25">
      <c r="H19" s="63"/>
      <c r="J19" s="63"/>
      <c r="K19" s="63"/>
      <c r="L19" s="63"/>
      <c r="M19" s="63"/>
      <c r="N19" s="63"/>
      <c r="O19" s="63"/>
      <c r="P19" s="63"/>
      <c r="Q19" s="63"/>
      <c r="R19" s="63"/>
      <c r="S19" s="63"/>
      <c r="T19" s="63"/>
      <c r="U19" s="63"/>
      <c r="V19" s="63"/>
      <c r="W19" s="63"/>
      <c r="X19" s="63"/>
      <c r="Y19" s="63"/>
    </row>
    <row r="20" spans="3:43" x14ac:dyDescent="0.25">
      <c r="D20" s="29" t="s">
        <v>497</v>
      </c>
      <c r="AQ20" s="3"/>
    </row>
    <row r="21" spans="3:43" x14ac:dyDescent="0.25">
      <c r="C21" s="32"/>
      <c r="AQ21" s="3"/>
    </row>
    <row r="22" spans="3:43" x14ac:dyDescent="0.25">
      <c r="E22" s="32" t="s">
        <v>378</v>
      </c>
      <c r="H22" s="14"/>
      <c r="J22" s="63"/>
      <c r="L22" s="63"/>
      <c r="AQ22" s="3"/>
    </row>
    <row r="23" spans="3:43" x14ac:dyDescent="0.25">
      <c r="E23" s="32"/>
      <c r="F23" s="23" t="s">
        <v>191</v>
      </c>
      <c r="G23" s="23" t="s">
        <v>167</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25">
      <c r="E24" s="32"/>
      <c r="F24" t="s">
        <v>192</v>
      </c>
      <c r="G24" t="s">
        <v>167</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25">
      <c r="E25" s="32"/>
      <c r="F25" t="s">
        <v>193</v>
      </c>
      <c r="G25" t="s">
        <v>167</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25">
      <c r="E26" s="32"/>
      <c r="F26" t="s">
        <v>194</v>
      </c>
      <c r="G26" t="s">
        <v>167</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25">
      <c r="E27" s="32"/>
      <c r="F27" t="s">
        <v>195</v>
      </c>
      <c r="G27" t="s">
        <v>167</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25">
      <c r="E28" s="32"/>
      <c r="F28" t="s">
        <v>196</v>
      </c>
      <c r="G28" t="s">
        <v>167</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25">
      <c r="E29" s="32"/>
      <c r="F29" t="s">
        <v>197</v>
      </c>
      <c r="G29" t="s">
        <v>167</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25">
      <c r="E30" s="32"/>
      <c r="F30" t="s">
        <v>198</v>
      </c>
      <c r="G30" t="s">
        <v>167</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25">
      <c r="E31" s="32"/>
      <c r="F31" s="37" t="s">
        <v>199</v>
      </c>
      <c r="G31" s="37" t="s">
        <v>167</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25">
      <c r="E32" s="32"/>
      <c r="J32" s="63"/>
      <c r="K32" s="63"/>
      <c r="L32" s="63"/>
      <c r="M32" s="63"/>
      <c r="N32" s="63"/>
      <c r="O32" s="63"/>
      <c r="P32" s="63"/>
      <c r="Q32" s="63"/>
      <c r="R32" s="63"/>
      <c r="S32" s="63"/>
      <c r="T32" s="63"/>
      <c r="U32" s="63"/>
      <c r="V32" s="63"/>
      <c r="W32" s="63"/>
      <c r="X32" s="63"/>
      <c r="Y32" s="63"/>
      <c r="AQ32" s="3"/>
    </row>
    <row r="33" spans="5:43" x14ac:dyDescent="0.25">
      <c r="E33" s="32" t="s">
        <v>498</v>
      </c>
      <c r="I33" t="s">
        <v>154</v>
      </c>
      <c r="J33" s="63"/>
      <c r="K33" s="63"/>
      <c r="L33" s="63"/>
      <c r="M33" s="63"/>
      <c r="N33" s="63"/>
      <c r="O33" s="63"/>
      <c r="P33" s="63"/>
      <c r="Q33" s="63"/>
      <c r="R33" s="63"/>
      <c r="S33" s="63"/>
      <c r="T33" s="63"/>
      <c r="U33" s="63"/>
      <c r="V33" s="63"/>
      <c r="W33" s="63"/>
      <c r="X33" s="63"/>
      <c r="Y33" s="63"/>
      <c r="AA33" t="s">
        <v>499</v>
      </c>
      <c r="AQ33" s="3"/>
    </row>
    <row r="34" spans="5:43" x14ac:dyDescent="0.25">
      <c r="E34" s="32"/>
      <c r="F34" s="23" t="s">
        <v>191</v>
      </c>
      <c r="G34" s="23" t="s">
        <v>283</v>
      </c>
      <c r="H34" s="158"/>
      <c r="I34" s="158"/>
      <c r="J34" s="124">
        <f t="array" ref="J34:Y42">TRANSPOSE('Load &amp; loss characteristics'!K145:S160)</f>
        <v>1.093</v>
      </c>
      <c r="K34" s="124">
        <v>1.093</v>
      </c>
      <c r="L34" s="124">
        <v>1.093</v>
      </c>
      <c r="M34" s="124">
        <v>1.093</v>
      </c>
      <c r="N34" s="124">
        <v>1.093</v>
      </c>
      <c r="O34" s="124">
        <v>1.0589999999999999</v>
      </c>
      <c r="P34" s="124">
        <v>1.036</v>
      </c>
      <c r="Q34" s="124">
        <v>1.093</v>
      </c>
      <c r="R34" s="124">
        <v>-1.093</v>
      </c>
      <c r="S34" s="124">
        <v>-1.0589999999999999</v>
      </c>
      <c r="T34" s="124">
        <v>-1.093</v>
      </c>
      <c r="U34" s="124">
        <v>-1.093</v>
      </c>
      <c r="V34" s="124">
        <v>-1.0589999999999999</v>
      </c>
      <c r="W34" s="124">
        <v>-1.0589999999999999</v>
      </c>
      <c r="X34" s="124">
        <v>-1.036</v>
      </c>
      <c r="Y34" s="124">
        <v>-1.036</v>
      </c>
      <c r="AQ34" s="3"/>
    </row>
    <row r="35" spans="5:43" x14ac:dyDescent="0.25">
      <c r="E35" s="32"/>
      <c r="F35" t="s">
        <v>192</v>
      </c>
      <c r="G35" t="s">
        <v>283</v>
      </c>
      <c r="H35" s="89"/>
      <c r="I35" s="89"/>
      <c r="J35" s="120">
        <v>1.093</v>
      </c>
      <c r="K35" s="120">
        <v>1.093</v>
      </c>
      <c r="L35" s="120">
        <v>1.093</v>
      </c>
      <c r="M35" s="120">
        <v>1.093</v>
      </c>
      <c r="N35" s="120">
        <v>1.093</v>
      </c>
      <c r="O35" s="120">
        <v>1.0589999999999999</v>
      </c>
      <c r="P35" s="120">
        <v>1.036</v>
      </c>
      <c r="Q35" s="120">
        <v>1.093</v>
      </c>
      <c r="R35" s="120">
        <v>-1.093</v>
      </c>
      <c r="S35" s="120">
        <v>-1.0589999999999999</v>
      </c>
      <c r="T35" s="120">
        <v>-1.093</v>
      </c>
      <c r="U35" s="120">
        <v>-1.093</v>
      </c>
      <c r="V35" s="120">
        <v>-1.0589999999999999</v>
      </c>
      <c r="W35" s="120">
        <v>-1.0589999999999999</v>
      </c>
      <c r="X35" s="120">
        <v>-1.036</v>
      </c>
      <c r="Y35" s="120">
        <v>-1.036</v>
      </c>
      <c r="AQ35" s="3"/>
    </row>
    <row r="36" spans="5:43" x14ac:dyDescent="0.25">
      <c r="E36" s="32"/>
      <c r="F36" t="s">
        <v>193</v>
      </c>
      <c r="G36" t="s">
        <v>283</v>
      </c>
      <c r="H36" s="89"/>
      <c r="I36" s="89"/>
      <c r="J36" s="120">
        <v>1.093</v>
      </c>
      <c r="K36" s="120">
        <v>1.093</v>
      </c>
      <c r="L36" s="120">
        <v>1.093</v>
      </c>
      <c r="M36" s="120">
        <v>1.093</v>
      </c>
      <c r="N36" s="120">
        <v>1.093</v>
      </c>
      <c r="O36" s="120">
        <v>1.0589999999999999</v>
      </c>
      <c r="P36" s="120">
        <v>1.036</v>
      </c>
      <c r="Q36" s="120">
        <v>1.093</v>
      </c>
      <c r="R36" s="120">
        <v>-1.093</v>
      </c>
      <c r="S36" s="120">
        <v>-1.0589999999999999</v>
      </c>
      <c r="T36" s="120">
        <v>-1.093</v>
      </c>
      <c r="U36" s="120">
        <v>-1.093</v>
      </c>
      <c r="V36" s="120">
        <v>-1.0589999999999999</v>
      </c>
      <c r="W36" s="120">
        <v>-1.0589999999999999</v>
      </c>
      <c r="X36" s="120">
        <v>-1.036</v>
      </c>
      <c r="Y36" s="120">
        <v>-1.036</v>
      </c>
      <c r="AQ36" s="3"/>
    </row>
    <row r="37" spans="5:43" x14ac:dyDescent="0.25">
      <c r="E37" s="32"/>
      <c r="F37" t="s">
        <v>194</v>
      </c>
      <c r="G37" t="s">
        <v>283</v>
      </c>
      <c r="H37" s="89"/>
      <c r="I37" s="89"/>
      <c r="J37" s="120">
        <v>1.093</v>
      </c>
      <c r="K37" s="120">
        <v>1.093</v>
      </c>
      <c r="L37" s="120">
        <v>1.093</v>
      </c>
      <c r="M37" s="120">
        <v>1.093</v>
      </c>
      <c r="N37" s="120">
        <v>1.093</v>
      </c>
      <c r="O37" s="120">
        <v>1.0589999999999999</v>
      </c>
      <c r="P37" s="120">
        <v>1.036</v>
      </c>
      <c r="Q37" s="120">
        <v>1.093</v>
      </c>
      <c r="R37" s="120">
        <v>-1.093</v>
      </c>
      <c r="S37" s="120">
        <v>-1.0589999999999999</v>
      </c>
      <c r="T37" s="120">
        <v>-1.093</v>
      </c>
      <c r="U37" s="120">
        <v>-1.093</v>
      </c>
      <c r="V37" s="120">
        <v>-1.0589999999999999</v>
      </c>
      <c r="W37" s="120">
        <v>-1.0589999999999999</v>
      </c>
      <c r="X37" s="120">
        <v>-1.036</v>
      </c>
      <c r="Y37" s="120">
        <v>-1.036</v>
      </c>
      <c r="AQ37" s="3"/>
    </row>
    <row r="38" spans="5:43" x14ac:dyDescent="0.25">
      <c r="E38" s="32"/>
      <c r="F38" t="s">
        <v>195</v>
      </c>
      <c r="G38" t="s">
        <v>283</v>
      </c>
      <c r="H38" s="89"/>
      <c r="I38" s="89"/>
      <c r="J38" s="120">
        <v>1.093</v>
      </c>
      <c r="K38" s="120">
        <v>1.093</v>
      </c>
      <c r="L38" s="120">
        <v>1.093</v>
      </c>
      <c r="M38" s="120">
        <v>1.093</v>
      </c>
      <c r="N38" s="120">
        <v>1.093</v>
      </c>
      <c r="O38" s="120">
        <v>1.0589999999999999</v>
      </c>
      <c r="P38" s="120">
        <v>1.036</v>
      </c>
      <c r="Q38" s="120">
        <v>1.093</v>
      </c>
      <c r="R38" s="120">
        <v>-1.093</v>
      </c>
      <c r="S38" s="120">
        <v>-1.0589999999999999</v>
      </c>
      <c r="T38" s="120">
        <v>-1.093</v>
      </c>
      <c r="U38" s="120">
        <v>-1.093</v>
      </c>
      <c r="V38" s="120">
        <v>-1.0589999999999999</v>
      </c>
      <c r="W38" s="120">
        <v>-1.0589999999999999</v>
      </c>
      <c r="X38" s="120">
        <v>-1.036</v>
      </c>
      <c r="Y38" s="120">
        <v>-1.036</v>
      </c>
      <c r="AQ38" s="3"/>
    </row>
    <row r="39" spans="5:43" x14ac:dyDescent="0.25">
      <c r="E39" s="32"/>
      <c r="F39" t="s">
        <v>196</v>
      </c>
      <c r="G39" t="s">
        <v>283</v>
      </c>
      <c r="H39" s="89"/>
      <c r="I39" s="89"/>
      <c r="J39" s="120">
        <v>0</v>
      </c>
      <c r="K39" s="120">
        <v>0</v>
      </c>
      <c r="L39" s="120">
        <v>0</v>
      </c>
      <c r="M39" s="120">
        <v>0</v>
      </c>
      <c r="N39" s="120">
        <v>0</v>
      </c>
      <c r="O39" s="120">
        <v>0</v>
      </c>
      <c r="P39" s="120">
        <v>0</v>
      </c>
      <c r="Q39" s="120">
        <v>0</v>
      </c>
      <c r="R39" s="120">
        <v>0</v>
      </c>
      <c r="S39" s="120">
        <v>0</v>
      </c>
      <c r="T39" s="120">
        <v>0</v>
      </c>
      <c r="U39" s="120">
        <v>0</v>
      </c>
      <c r="V39" s="120">
        <v>0</v>
      </c>
      <c r="W39" s="120">
        <v>0</v>
      </c>
      <c r="X39" s="120">
        <v>0</v>
      </c>
      <c r="Y39" s="120">
        <v>0</v>
      </c>
      <c r="AQ39" s="3"/>
    </row>
    <row r="40" spans="5:43" x14ac:dyDescent="0.25">
      <c r="E40" s="32"/>
      <c r="F40" t="s">
        <v>197</v>
      </c>
      <c r="G40" t="s">
        <v>283</v>
      </c>
      <c r="H40" s="89"/>
      <c r="I40" s="89"/>
      <c r="J40" s="120">
        <v>1.093</v>
      </c>
      <c r="K40" s="120">
        <v>1.093</v>
      </c>
      <c r="L40" s="120">
        <v>1.093</v>
      </c>
      <c r="M40" s="120">
        <v>1.093</v>
      </c>
      <c r="N40" s="120">
        <v>1.093</v>
      </c>
      <c r="O40" s="120">
        <v>1.0589999999999999</v>
      </c>
      <c r="P40" s="120">
        <v>1.036</v>
      </c>
      <c r="Q40" s="120">
        <v>1.093</v>
      </c>
      <c r="R40" s="120">
        <v>-1.093</v>
      </c>
      <c r="S40" s="120">
        <v>-1.0589999999999999</v>
      </c>
      <c r="T40" s="120">
        <v>-1.093</v>
      </c>
      <c r="U40" s="120">
        <v>-1.093</v>
      </c>
      <c r="V40" s="120">
        <v>-1.0589999999999999</v>
      </c>
      <c r="W40" s="120">
        <v>-1.0589999999999999</v>
      </c>
      <c r="X40" s="120">
        <v>0</v>
      </c>
      <c r="Y40" s="120">
        <v>0</v>
      </c>
      <c r="AQ40" s="3"/>
    </row>
    <row r="41" spans="5:43" x14ac:dyDescent="0.25">
      <c r="E41" s="32"/>
      <c r="F41" t="s">
        <v>198</v>
      </c>
      <c r="G41" t="s">
        <v>283</v>
      </c>
      <c r="H41" s="89"/>
      <c r="I41" s="89"/>
      <c r="J41" s="120">
        <v>1.093</v>
      </c>
      <c r="K41" s="120">
        <v>1.093</v>
      </c>
      <c r="L41" s="120">
        <v>1.093</v>
      </c>
      <c r="M41" s="120">
        <v>1.093</v>
      </c>
      <c r="N41" s="120">
        <v>1.093</v>
      </c>
      <c r="O41" s="120">
        <v>1.0589999999999999</v>
      </c>
      <c r="P41" s="120">
        <v>0</v>
      </c>
      <c r="Q41" s="120">
        <v>1.093</v>
      </c>
      <c r="R41" s="120">
        <v>-1.093</v>
      </c>
      <c r="S41" s="120">
        <v>0</v>
      </c>
      <c r="T41" s="120">
        <v>-1.093</v>
      </c>
      <c r="U41" s="120">
        <v>-1.093</v>
      </c>
      <c r="V41" s="120">
        <v>0</v>
      </c>
      <c r="W41" s="120">
        <v>0</v>
      </c>
      <c r="X41" s="120">
        <v>0</v>
      </c>
      <c r="Y41" s="120">
        <v>0</v>
      </c>
      <c r="AQ41" s="3"/>
    </row>
    <row r="42" spans="5:43" x14ac:dyDescent="0.25">
      <c r="E42" s="32"/>
      <c r="F42" s="37" t="s">
        <v>199</v>
      </c>
      <c r="G42" s="37" t="s">
        <v>283</v>
      </c>
      <c r="H42" s="82"/>
      <c r="I42" s="82"/>
      <c r="J42" s="125">
        <v>1.093</v>
      </c>
      <c r="K42" s="125">
        <v>1.093</v>
      </c>
      <c r="L42" s="125">
        <v>1.093</v>
      </c>
      <c r="M42" s="125">
        <v>1.093</v>
      </c>
      <c r="N42" s="125">
        <v>1.093</v>
      </c>
      <c r="O42" s="125">
        <v>0</v>
      </c>
      <c r="P42" s="125">
        <v>0</v>
      </c>
      <c r="Q42" s="125">
        <v>1.093</v>
      </c>
      <c r="R42" s="125">
        <v>0</v>
      </c>
      <c r="S42" s="125">
        <v>0</v>
      </c>
      <c r="T42" s="125">
        <v>0</v>
      </c>
      <c r="U42" s="125">
        <v>0</v>
      </c>
      <c r="V42" s="125">
        <v>0</v>
      </c>
      <c r="W42" s="125">
        <v>0</v>
      </c>
      <c r="X42" s="125">
        <v>0</v>
      </c>
      <c r="Y42" s="125">
        <v>0</v>
      </c>
      <c r="AQ42" s="3"/>
    </row>
    <row r="43" spans="5:43" x14ac:dyDescent="0.25">
      <c r="E43" s="32"/>
      <c r="H43" s="89"/>
      <c r="I43" s="89"/>
      <c r="J43" s="89"/>
      <c r="K43" s="89"/>
      <c r="L43" s="89"/>
      <c r="M43" s="89"/>
      <c r="N43" s="89"/>
      <c r="O43" s="89"/>
      <c r="P43" s="89"/>
      <c r="Q43" s="89"/>
      <c r="R43" s="89"/>
      <c r="S43" s="89"/>
      <c r="T43" s="89"/>
      <c r="U43" s="89"/>
      <c r="V43" s="89"/>
      <c r="W43" s="89"/>
      <c r="X43" s="89"/>
      <c r="Y43" s="89"/>
      <c r="AQ43" s="3"/>
    </row>
    <row r="44" spans="5:43" x14ac:dyDescent="0.25">
      <c r="E44" s="32" t="s">
        <v>500</v>
      </c>
      <c r="H44" s="89"/>
      <c r="I44" s="89"/>
      <c r="J44" s="89"/>
      <c r="K44" s="89"/>
      <c r="L44" s="89"/>
      <c r="M44" s="89"/>
      <c r="N44" s="89"/>
      <c r="O44" s="89"/>
      <c r="P44" s="89"/>
      <c r="Q44" s="89"/>
      <c r="R44" s="89"/>
      <c r="S44" s="89"/>
      <c r="T44" s="89"/>
      <c r="U44" s="89"/>
      <c r="V44" s="89"/>
      <c r="W44" s="89"/>
      <c r="X44" s="89"/>
      <c r="Y44" s="89"/>
      <c r="AQ44" s="3"/>
    </row>
    <row r="45" spans="5:43" x14ac:dyDescent="0.25">
      <c r="E45" s="32"/>
      <c r="F45" s="23" t="s">
        <v>191</v>
      </c>
      <c r="G45" s="23" t="s">
        <v>283</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25">
      <c r="E46" s="32"/>
      <c r="F46" t="s">
        <v>192</v>
      </c>
      <c r="G46" t="s">
        <v>283</v>
      </c>
      <c r="H46" s="120">
        <f>'Load &amp; loss characteristics'!L29</f>
        <v>1</v>
      </c>
      <c r="I46" s="89"/>
      <c r="J46" s="89"/>
      <c r="K46" s="89"/>
      <c r="L46" s="89"/>
      <c r="M46" s="89"/>
      <c r="N46" s="89"/>
      <c r="O46" s="89"/>
      <c r="P46" s="89"/>
      <c r="Q46" s="89"/>
      <c r="R46" s="89"/>
      <c r="S46" s="89"/>
      <c r="T46" s="89"/>
      <c r="U46" s="89"/>
      <c r="V46" s="89"/>
      <c r="W46" s="89"/>
      <c r="X46" s="89"/>
      <c r="Y46" s="89"/>
      <c r="AQ46" s="3"/>
    </row>
    <row r="47" spans="5:43" x14ac:dyDescent="0.25">
      <c r="E47" s="32"/>
      <c r="F47" t="s">
        <v>193</v>
      </c>
      <c r="G47" t="s">
        <v>283</v>
      </c>
      <c r="H47" s="120">
        <f>'Load &amp; loss characteristics'!M29</f>
        <v>1</v>
      </c>
      <c r="I47" s="89"/>
      <c r="J47" s="89"/>
      <c r="K47" s="89"/>
      <c r="L47" s="89"/>
      <c r="M47" s="89"/>
      <c r="N47" s="89"/>
      <c r="O47" s="89"/>
      <c r="P47" s="89"/>
      <c r="Q47" s="89"/>
      <c r="R47" s="89"/>
      <c r="S47" s="89"/>
      <c r="T47" s="89"/>
      <c r="U47" s="89"/>
      <c r="V47" s="89"/>
      <c r="W47" s="89"/>
      <c r="X47" s="89"/>
      <c r="Y47" s="89"/>
      <c r="AQ47" s="3"/>
    </row>
    <row r="48" spans="5:43" x14ac:dyDescent="0.25">
      <c r="E48" s="32"/>
      <c r="F48" t="s">
        <v>194</v>
      </c>
      <c r="G48" t="s">
        <v>283</v>
      </c>
      <c r="H48" s="120">
        <f>'Load &amp; loss characteristics'!N29</f>
        <v>1.014</v>
      </c>
      <c r="I48" s="89"/>
      <c r="J48" s="89"/>
      <c r="K48" s="89"/>
      <c r="L48" s="89"/>
      <c r="M48" s="89"/>
      <c r="N48" s="89"/>
      <c r="O48" s="89"/>
      <c r="P48" s="89"/>
      <c r="Q48" s="89"/>
      <c r="R48" s="89"/>
      <c r="S48" s="89"/>
      <c r="T48" s="89"/>
      <c r="U48" s="89"/>
      <c r="V48" s="89"/>
      <c r="W48" s="89"/>
      <c r="X48" s="89"/>
      <c r="Y48" s="89"/>
      <c r="AQ48" s="3"/>
    </row>
    <row r="49" spans="2:43" x14ac:dyDescent="0.25">
      <c r="E49" s="32"/>
      <c r="F49" t="s">
        <v>195</v>
      </c>
      <c r="G49" t="s">
        <v>283</v>
      </c>
      <c r="H49" s="120">
        <f>'Load &amp; loss characteristics'!O29</f>
        <v>1.026</v>
      </c>
      <c r="I49" s="89"/>
      <c r="J49" s="89"/>
      <c r="K49" s="89"/>
      <c r="L49" s="89"/>
      <c r="M49" s="89"/>
      <c r="N49" s="89"/>
      <c r="O49" s="89"/>
      <c r="P49" s="89"/>
      <c r="Q49" s="89"/>
      <c r="R49" s="89"/>
      <c r="S49" s="89"/>
      <c r="T49" s="89"/>
      <c r="U49" s="89"/>
      <c r="V49" s="89"/>
      <c r="W49" s="89"/>
      <c r="X49" s="89"/>
      <c r="Y49" s="89"/>
      <c r="AQ49" s="3"/>
    </row>
    <row r="50" spans="2:43" x14ac:dyDescent="0.25">
      <c r="E50" s="32"/>
      <c r="F50" t="s">
        <v>196</v>
      </c>
      <c r="G50" t="s">
        <v>283</v>
      </c>
      <c r="H50" s="120">
        <f>'Load &amp; loss characteristics'!P29</f>
        <v>1.026</v>
      </c>
      <c r="I50" s="89"/>
      <c r="J50" s="89"/>
      <c r="K50" s="89"/>
      <c r="L50" s="89"/>
      <c r="M50" s="89"/>
      <c r="N50" s="89"/>
      <c r="O50" s="89"/>
      <c r="P50" s="89"/>
      <c r="Q50" s="89"/>
      <c r="R50" s="89"/>
      <c r="S50" s="89"/>
      <c r="T50" s="89"/>
      <c r="U50" s="89"/>
      <c r="V50" s="89"/>
      <c r="W50" s="89"/>
      <c r="X50" s="89"/>
      <c r="Y50" s="89"/>
      <c r="AQ50" s="3"/>
    </row>
    <row r="51" spans="2:43" x14ac:dyDescent="0.25">
      <c r="E51" s="32"/>
      <c r="F51" t="s">
        <v>197</v>
      </c>
      <c r="G51" t="s">
        <v>283</v>
      </c>
      <c r="H51" s="120">
        <f>'Load &amp; loss characteristics'!Q29</f>
        <v>1.036</v>
      </c>
      <c r="I51" s="89"/>
      <c r="J51" s="89"/>
      <c r="K51" s="89"/>
      <c r="L51" s="89"/>
      <c r="M51" s="89"/>
      <c r="N51" s="89"/>
      <c r="O51" s="89"/>
      <c r="P51" s="89"/>
      <c r="Q51" s="89"/>
      <c r="R51" s="89"/>
      <c r="S51" s="89"/>
      <c r="T51" s="89"/>
      <c r="U51" s="89"/>
      <c r="V51" s="89"/>
      <c r="W51" s="89"/>
      <c r="X51" s="89"/>
      <c r="Y51" s="89"/>
      <c r="AQ51" s="3"/>
    </row>
    <row r="52" spans="2:43" x14ac:dyDescent="0.25">
      <c r="E52" s="32"/>
      <c r="F52" t="s">
        <v>198</v>
      </c>
      <c r="G52" t="s">
        <v>283</v>
      </c>
      <c r="H52" s="120">
        <f>'Load &amp; loss characteristics'!R29</f>
        <v>1.0589999999999999</v>
      </c>
      <c r="I52" s="89"/>
      <c r="J52" s="89"/>
      <c r="K52" s="89"/>
      <c r="L52" s="89"/>
      <c r="M52" s="89"/>
      <c r="N52" s="89"/>
      <c r="O52" s="89"/>
      <c r="P52" s="89"/>
      <c r="Q52" s="89"/>
      <c r="R52" s="89"/>
      <c r="S52" s="89"/>
      <c r="T52" s="89"/>
      <c r="U52" s="89"/>
      <c r="V52" s="89"/>
      <c r="W52" s="89"/>
      <c r="X52" s="89"/>
      <c r="Y52" s="89"/>
      <c r="AQ52" s="3"/>
    </row>
    <row r="53" spans="2:43" x14ac:dyDescent="0.25">
      <c r="E53" s="32"/>
      <c r="F53" s="37" t="s">
        <v>199</v>
      </c>
      <c r="G53" s="37" t="s">
        <v>283</v>
      </c>
      <c r="H53" s="125">
        <f>'Load &amp; loss characteristics'!S29</f>
        <v>1.093</v>
      </c>
      <c r="I53" s="89"/>
      <c r="J53" s="89"/>
      <c r="K53" s="89"/>
      <c r="L53" s="89"/>
      <c r="M53" s="89"/>
      <c r="N53" s="89"/>
      <c r="O53" s="89"/>
      <c r="P53" s="89"/>
      <c r="Q53" s="89"/>
      <c r="R53" s="89"/>
      <c r="S53" s="89"/>
      <c r="T53" s="89"/>
      <c r="U53" s="89"/>
      <c r="V53" s="89"/>
      <c r="W53" s="89"/>
      <c r="X53" s="89"/>
      <c r="Y53" s="89"/>
      <c r="AQ53" s="3"/>
    </row>
    <row r="54" spans="2:43" x14ac:dyDescent="0.25">
      <c r="E54" s="32"/>
      <c r="H54" s="89"/>
      <c r="I54" s="89"/>
      <c r="J54" s="89"/>
      <c r="K54" s="89"/>
      <c r="L54" s="89"/>
      <c r="M54" s="89"/>
      <c r="N54" s="89"/>
      <c r="O54" s="89"/>
      <c r="P54" s="89"/>
      <c r="Q54" s="89"/>
      <c r="R54" s="89"/>
      <c r="S54" s="89"/>
      <c r="T54" s="89"/>
      <c r="U54" s="89"/>
      <c r="V54" s="89"/>
      <c r="W54" s="89"/>
      <c r="X54" s="89"/>
      <c r="Y54" s="89"/>
      <c r="AQ54" s="3"/>
    </row>
    <row r="55" spans="2:43" x14ac:dyDescent="0.25">
      <c r="E55" s="32" t="s">
        <v>501</v>
      </c>
      <c r="H55" s="89"/>
      <c r="I55" s="89" t="s">
        <v>154</v>
      </c>
      <c r="J55" s="89"/>
      <c r="K55" s="89"/>
      <c r="L55" s="89"/>
      <c r="M55" s="89"/>
      <c r="N55" s="89"/>
      <c r="O55" s="89"/>
      <c r="P55" s="89"/>
      <c r="Q55" s="89"/>
      <c r="R55" s="89"/>
      <c r="S55" s="89"/>
      <c r="T55" s="89"/>
      <c r="U55" s="89"/>
      <c r="V55" s="89"/>
      <c r="W55" s="89"/>
      <c r="X55" s="89"/>
      <c r="Y55" s="89"/>
      <c r="AA55" t="s">
        <v>502</v>
      </c>
    </row>
    <row r="56" spans="2:43" x14ac:dyDescent="0.25">
      <c r="E56" s="32"/>
      <c r="F56" s="23" t="s">
        <v>156</v>
      </c>
      <c r="G56" s="23" t="s">
        <v>207</v>
      </c>
      <c r="H56" s="158"/>
      <c r="I56" s="158"/>
      <c r="J56" s="124">
        <f>'Volume adjustments'!J66</f>
        <v>311831.94582317385</v>
      </c>
      <c r="K56" s="124">
        <f>'Volume adjustments'!K66</f>
        <v>8828.0434583187307</v>
      </c>
      <c r="L56" s="124">
        <f>'Volume adjustments'!L66</f>
        <v>102378.72879148643</v>
      </c>
      <c r="M56" s="124">
        <f>'Volume adjustments'!M66</f>
        <v>3073.5191857693171</v>
      </c>
      <c r="N56" s="124">
        <f>'Volume adjustments'!N66</f>
        <v>139806.98097606294</v>
      </c>
      <c r="O56" s="124">
        <f>'Volume adjustments'!O66</f>
        <v>11206.437648372332</v>
      </c>
      <c r="P56" s="124">
        <f>'Volume adjustments'!P66</f>
        <v>74694.355628841644</v>
      </c>
      <c r="Q56" s="124">
        <f>'Volume adjustments'!Q66</f>
        <v>4349.8619861455727</v>
      </c>
      <c r="R56" s="124">
        <f>'Volume adjustments'!R66</f>
        <v>658.01792802705074</v>
      </c>
      <c r="S56" s="124">
        <f>'Volume adjustments'!S66</f>
        <v>0.40800000000000008</v>
      </c>
      <c r="T56" s="124">
        <f>'Volume adjustments'!T66</f>
        <v>34142.676188495534</v>
      </c>
      <c r="U56" s="124">
        <f>'Volume adjustments'!U66</f>
        <v>0</v>
      </c>
      <c r="V56" s="124">
        <f>'Volume adjustments'!V66</f>
        <v>353.5321999999997</v>
      </c>
      <c r="W56" s="124">
        <f>'Volume adjustments'!W66</f>
        <v>0</v>
      </c>
      <c r="X56" s="124">
        <f>'Volume adjustments'!X66</f>
        <v>152551.54503003714</v>
      </c>
      <c r="Y56" s="124">
        <f>'Volume adjustments'!Y66</f>
        <v>0</v>
      </c>
      <c r="AQ56" s="3"/>
    </row>
    <row r="57" spans="2:43" x14ac:dyDescent="0.25">
      <c r="E57" s="32"/>
      <c r="F57" t="s">
        <v>157</v>
      </c>
      <c r="G57" t="s">
        <v>207</v>
      </c>
      <c r="H57" s="89"/>
      <c r="I57" s="89"/>
      <c r="J57" s="120">
        <f>'Volume adjustments'!J77</f>
        <v>1222053.7587079387</v>
      </c>
      <c r="K57" s="120">
        <f>'Volume adjustments'!K77</f>
        <v>150887.96998237175</v>
      </c>
      <c r="L57" s="120">
        <f>'Volume adjustments'!L77</f>
        <v>545261.70609176275</v>
      </c>
      <c r="M57" s="120">
        <f>'Volume adjustments'!M77</f>
        <v>14352.322991058796</v>
      </c>
      <c r="N57" s="120">
        <f>'Volume adjustments'!N77</f>
        <v>740397.98107946641</v>
      </c>
      <c r="O57" s="120">
        <f>'Volume adjustments'!O77</f>
        <v>58043.544338799831</v>
      </c>
      <c r="P57" s="120">
        <f>'Volume adjustments'!P77</f>
        <v>375984.60290363373</v>
      </c>
      <c r="Q57" s="120">
        <f>'Volume adjustments'!Q77</f>
        <v>30463.510485625775</v>
      </c>
      <c r="R57" s="120">
        <f>'Volume adjustments'!R77</f>
        <v>3421.5412500488133</v>
      </c>
      <c r="S57" s="120">
        <f>'Volume adjustments'!S77</f>
        <v>1.9430000000000009</v>
      </c>
      <c r="T57" s="120">
        <f>'Volume adjustments'!T77</f>
        <v>178906.97316231087</v>
      </c>
      <c r="U57" s="120">
        <f>'Volume adjustments'!U77</f>
        <v>0</v>
      </c>
      <c r="V57" s="120">
        <f>'Volume adjustments'!V77</f>
        <v>1533.9735999999987</v>
      </c>
      <c r="W57" s="120">
        <f>'Volume adjustments'!W77</f>
        <v>0</v>
      </c>
      <c r="X57" s="120">
        <f>'Volume adjustments'!X77</f>
        <v>747480.09120044974</v>
      </c>
      <c r="Y57" s="120">
        <f>'Volume adjustments'!Y77</f>
        <v>0</v>
      </c>
      <c r="AQ57" s="3"/>
    </row>
    <row r="58" spans="2:43" x14ac:dyDescent="0.25">
      <c r="E58" s="32"/>
      <c r="F58" s="37" t="s">
        <v>158</v>
      </c>
      <c r="G58" s="37" t="s">
        <v>207</v>
      </c>
      <c r="H58" s="82"/>
      <c r="I58" s="82"/>
      <c r="J58" s="125">
        <f>'Volume adjustments'!J88</f>
        <v>1077177.8887757412</v>
      </c>
      <c r="K58" s="125">
        <f>'Volume adjustments'!K88</f>
        <v>223429.42078208068</v>
      </c>
      <c r="L58" s="125">
        <f>'Volume adjustments'!L88</f>
        <v>367147.65331594134</v>
      </c>
      <c r="M58" s="125">
        <f>'Volume adjustments'!M88</f>
        <v>17378.187088510807</v>
      </c>
      <c r="N58" s="125">
        <f>'Volume adjustments'!N88</f>
        <v>555413.37242437864</v>
      </c>
      <c r="O58" s="125">
        <f>'Volume adjustments'!O88</f>
        <v>54070.107464039262</v>
      </c>
      <c r="P58" s="125">
        <f>'Volume adjustments'!P88</f>
        <v>347717.92720260756</v>
      </c>
      <c r="Q58" s="125">
        <f>'Volume adjustments'!Q88</f>
        <v>58641.778056120806</v>
      </c>
      <c r="R58" s="125">
        <f>'Volume adjustments'!R88</f>
        <v>1824.0799299361463</v>
      </c>
      <c r="S58" s="125">
        <f>'Volume adjustments'!S88</f>
        <v>1.1440000000000006</v>
      </c>
      <c r="T58" s="125">
        <f>'Volume adjustments'!T88</f>
        <v>194968.53407257851</v>
      </c>
      <c r="U58" s="125">
        <f>'Volume adjustments'!U88</f>
        <v>0</v>
      </c>
      <c r="V58" s="125">
        <f>'Volume adjustments'!V88</f>
        <v>1544.822899999999</v>
      </c>
      <c r="W58" s="125">
        <f>'Volume adjustments'!W88</f>
        <v>0</v>
      </c>
      <c r="X58" s="125">
        <f>'Volume adjustments'!X88</f>
        <v>790777.23541179951</v>
      </c>
      <c r="Y58" s="125">
        <f>'Volume adjustments'!Y88</f>
        <v>0</v>
      </c>
      <c r="AQ58" s="3"/>
    </row>
    <row r="59" spans="2:43" x14ac:dyDescent="0.25">
      <c r="E59" s="32"/>
      <c r="F59" s="108" t="s">
        <v>503</v>
      </c>
      <c r="G59" s="108" t="s">
        <v>207</v>
      </c>
      <c r="H59" s="167"/>
      <c r="I59" s="167"/>
      <c r="J59" s="167">
        <f t="shared" ref="J59:Y59" si="0">SUM(J56:J58)</f>
        <v>2611063.5933068539</v>
      </c>
      <c r="K59" s="167">
        <f t="shared" si="0"/>
        <v>383145.43422277115</v>
      </c>
      <c r="L59" s="167">
        <f t="shared" si="0"/>
        <v>1014788.0881991906</v>
      </c>
      <c r="M59" s="167">
        <f t="shared" si="0"/>
        <v>34804.029265338919</v>
      </c>
      <c r="N59" s="167">
        <f t="shared" si="0"/>
        <v>1435618.334479908</v>
      </c>
      <c r="O59" s="167">
        <f t="shared" si="0"/>
        <v>123320.08945121142</v>
      </c>
      <c r="P59" s="167">
        <f t="shared" si="0"/>
        <v>798396.88573508291</v>
      </c>
      <c r="Q59" s="167">
        <f t="shared" si="0"/>
        <v>93455.150527892154</v>
      </c>
      <c r="R59" s="167">
        <f t="shared" si="0"/>
        <v>5903.6391080120102</v>
      </c>
      <c r="S59" s="167">
        <f t="shared" si="0"/>
        <v>3.4950000000000014</v>
      </c>
      <c r="T59" s="167">
        <f t="shared" si="0"/>
        <v>408018.18342338491</v>
      </c>
      <c r="U59" s="167">
        <f t="shared" si="0"/>
        <v>0</v>
      </c>
      <c r="V59" s="167">
        <f t="shared" si="0"/>
        <v>3432.3286999999973</v>
      </c>
      <c r="W59" s="167">
        <f t="shared" si="0"/>
        <v>0</v>
      </c>
      <c r="X59" s="167">
        <f t="shared" si="0"/>
        <v>1690808.8716422864</v>
      </c>
      <c r="Y59" s="167">
        <f t="shared" si="0"/>
        <v>0</v>
      </c>
      <c r="AQ59" s="3"/>
    </row>
    <row r="60" spans="2:43" x14ac:dyDescent="0.25">
      <c r="D60" s="32"/>
      <c r="J60" s="63"/>
      <c r="L60" s="63"/>
      <c r="AQ60" s="3"/>
    </row>
    <row r="61" spans="2:43" x14ac:dyDescent="0.25">
      <c r="C61" s="32"/>
      <c r="E61" s="28" t="s">
        <v>241</v>
      </c>
      <c r="F61" s="28"/>
      <c r="G61" s="28" t="s">
        <v>167</v>
      </c>
      <c r="I61" t="s">
        <v>154</v>
      </c>
      <c r="J61" s="25">
        <f>'Inputs by customer type'!J15</f>
        <v>0.43432307672087345</v>
      </c>
      <c r="K61" s="25">
        <f>'Inputs by customer type'!K15</f>
        <v>0.18951942115043272</v>
      </c>
      <c r="L61" s="25">
        <f>'Inputs by customer type'!L15</f>
        <v>0.43270423944455622</v>
      </c>
      <c r="M61" s="25">
        <f>'Inputs by customer type'!M15</f>
        <v>0.21748502917939075</v>
      </c>
      <c r="N61" s="25">
        <f>'Inputs by customer type'!N15</f>
        <v>0.56987657688656024</v>
      </c>
      <c r="O61" s="25">
        <f>'Inputs by customer type'!O15</f>
        <v>0.72085080315425287</v>
      </c>
      <c r="P61" s="25">
        <f>'Inputs by customer type'!P15</f>
        <v>0.69256761043616277</v>
      </c>
      <c r="Q61" s="25">
        <f>'Inputs by customer type'!Q15</f>
        <v>0.48242330362199853</v>
      </c>
      <c r="R61" s="70"/>
      <c r="S61" s="70"/>
      <c r="T61" s="70"/>
      <c r="U61" s="70"/>
      <c r="V61" s="70"/>
      <c r="W61" s="70"/>
      <c r="X61" s="70"/>
      <c r="Y61" s="70"/>
      <c r="AA61" t="s">
        <v>504</v>
      </c>
      <c r="AQ61" s="3"/>
    </row>
    <row r="63" spans="2:43" x14ac:dyDescent="0.25">
      <c r="B63" s="30" t="s">
        <v>505</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25">
      <c r="C64" s="32"/>
      <c r="J64" s="63"/>
      <c r="L64" s="63"/>
      <c r="AQ64" s="3"/>
    </row>
    <row r="65" spans="3:43" x14ac:dyDescent="0.25">
      <c r="C65" s="29" t="s">
        <v>506</v>
      </c>
      <c r="J65" s="63"/>
      <c r="L65" s="63"/>
      <c r="AQ65" s="3"/>
    </row>
    <row r="66" spans="3:43" x14ac:dyDescent="0.25">
      <c r="C66" s="32"/>
      <c r="J66" s="63"/>
      <c r="L66" s="63"/>
      <c r="AQ66" s="3"/>
    </row>
    <row r="67" spans="3:43" x14ac:dyDescent="0.25">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25">
      <c r="H68" s="63"/>
      <c r="J68" s="63"/>
      <c r="K68" s="63"/>
      <c r="L68" s="63"/>
      <c r="M68" s="63"/>
      <c r="N68" s="63"/>
      <c r="O68" s="63"/>
      <c r="P68" s="63"/>
      <c r="Q68" s="63"/>
      <c r="R68" s="63"/>
      <c r="S68" s="63"/>
      <c r="T68" s="63"/>
      <c r="U68" s="63"/>
      <c r="V68" s="63"/>
      <c r="W68" s="63"/>
      <c r="X68" s="63"/>
      <c r="Y68" s="63"/>
    </row>
    <row r="69" spans="3:43" x14ac:dyDescent="0.25">
      <c r="E69" s="32" t="s">
        <v>507</v>
      </c>
      <c r="J69" s="63"/>
      <c r="L69" s="63"/>
      <c r="AQ69" s="3"/>
    </row>
    <row r="70" spans="3:43" x14ac:dyDescent="0.25">
      <c r="E70" s="32"/>
      <c r="F70" s="23" t="s">
        <v>191</v>
      </c>
      <c r="G70" s="23" t="s">
        <v>283</v>
      </c>
      <c r="H70" s="23"/>
      <c r="I70" s="23"/>
      <c r="J70" s="124">
        <f>'Pseudo-load coefficients'!J272</f>
        <v>7.9590922138949738</v>
      </c>
      <c r="K70" s="124">
        <f>'Pseudo-load coefficients'!K272</f>
        <v>7.9590922138949738</v>
      </c>
      <c r="L70" s="124">
        <f>'Pseudo-load coefficients'!L272</f>
        <v>8.3116359979830161</v>
      </c>
      <c r="M70" s="124">
        <f>'Pseudo-load coefficients'!M272</f>
        <v>8.3116359979830161</v>
      </c>
      <c r="N70" s="124">
        <f>'Pseudo-load coefficients'!N272</f>
        <v>7.415228280497602</v>
      </c>
      <c r="O70" s="124">
        <f>'Pseudo-load coefficients'!O272</f>
        <v>6.3116733031268604</v>
      </c>
      <c r="P70" s="124">
        <f>'Pseudo-load coefficients'!P272</f>
        <v>6.4617389497331343</v>
      </c>
      <c r="Q70" s="124">
        <f>'Pseudo-load coefficients'!Q272</f>
        <v>15.37837265110007</v>
      </c>
      <c r="R70" s="124">
        <f>'Pseudo-load coefficients'!R272</f>
        <v>5.7057471264367825</v>
      </c>
      <c r="S70" s="124">
        <f>'Pseudo-load coefficients'!S272</f>
        <v>5.7057471264367825</v>
      </c>
      <c r="T70" s="124">
        <f>'Pseudo-load coefficients'!T272</f>
        <v>5.7057471264367825</v>
      </c>
      <c r="U70" s="124">
        <f>'Pseudo-load coefficients'!U272</f>
        <v>5.7057471264367825</v>
      </c>
      <c r="V70" s="124">
        <f>'Pseudo-load coefficients'!V272</f>
        <v>5.7057471264367825</v>
      </c>
      <c r="W70" s="124">
        <f>'Pseudo-load coefficients'!W272</f>
        <v>5.7057471264367825</v>
      </c>
      <c r="X70" s="124">
        <f>'Pseudo-load coefficients'!X272</f>
        <v>5.7057471264367825</v>
      </c>
      <c r="Y70" s="124">
        <f>'Pseudo-load coefficients'!Y272</f>
        <v>5.7057471264367825</v>
      </c>
      <c r="AQ70" s="3"/>
    </row>
    <row r="71" spans="3:43" x14ac:dyDescent="0.25">
      <c r="E71" s="32"/>
      <c r="F71" t="s">
        <v>192</v>
      </c>
      <c r="G71" t="s">
        <v>283</v>
      </c>
      <c r="J71" s="120">
        <f>'Pseudo-load coefficients'!J273</f>
        <v>0</v>
      </c>
      <c r="K71" s="120">
        <f>'Pseudo-load coefficients'!K273</f>
        <v>0</v>
      </c>
      <c r="L71" s="120">
        <f>'Pseudo-load coefficients'!L273</f>
        <v>0</v>
      </c>
      <c r="M71" s="120">
        <f>'Pseudo-load coefficients'!M273</f>
        <v>0</v>
      </c>
      <c r="N71" s="120">
        <f>'Pseudo-load coefficients'!N273</f>
        <v>0</v>
      </c>
      <c r="O71" s="120">
        <f>'Pseudo-load coefficients'!O273</f>
        <v>0</v>
      </c>
      <c r="P71" s="120">
        <f>'Pseudo-load coefficients'!P273</f>
        <v>0</v>
      </c>
      <c r="Q71" s="120">
        <f>'Pseudo-load coefficients'!Q273</f>
        <v>0</v>
      </c>
      <c r="R71" s="120">
        <f>'Pseudo-load coefficients'!R273</f>
        <v>0</v>
      </c>
      <c r="S71" s="120">
        <f>'Pseudo-load coefficients'!S273</f>
        <v>0</v>
      </c>
      <c r="T71" s="120">
        <f>'Pseudo-load coefficients'!T273</f>
        <v>0</v>
      </c>
      <c r="U71" s="120">
        <f>'Pseudo-load coefficients'!U273</f>
        <v>0</v>
      </c>
      <c r="V71" s="120">
        <f>'Pseudo-load coefficients'!V273</f>
        <v>0</v>
      </c>
      <c r="W71" s="120">
        <f>'Pseudo-load coefficients'!W273</f>
        <v>0</v>
      </c>
      <c r="X71" s="120">
        <f>'Pseudo-load coefficients'!X273</f>
        <v>0</v>
      </c>
      <c r="Y71" s="120">
        <f>'Pseudo-load coefficients'!Y273</f>
        <v>0</v>
      </c>
      <c r="AQ71" s="3"/>
    </row>
    <row r="72" spans="3:43" x14ac:dyDescent="0.25">
      <c r="E72" s="32"/>
      <c r="F72" t="s">
        <v>193</v>
      </c>
      <c r="G72" t="s">
        <v>283</v>
      </c>
      <c r="J72" s="120">
        <f>'Pseudo-load coefficients'!J274</f>
        <v>0</v>
      </c>
      <c r="K72" s="120">
        <f>'Pseudo-load coefficients'!K274</f>
        <v>0</v>
      </c>
      <c r="L72" s="120">
        <f>'Pseudo-load coefficients'!L274</f>
        <v>0</v>
      </c>
      <c r="M72" s="120">
        <f>'Pseudo-load coefficients'!M274</f>
        <v>0</v>
      </c>
      <c r="N72" s="120">
        <f>'Pseudo-load coefficients'!N274</f>
        <v>0</v>
      </c>
      <c r="O72" s="120">
        <f>'Pseudo-load coefficients'!O274</f>
        <v>0</v>
      </c>
      <c r="P72" s="120">
        <f>'Pseudo-load coefficients'!P274</f>
        <v>0</v>
      </c>
      <c r="Q72" s="120">
        <f>'Pseudo-load coefficients'!Q274</f>
        <v>0</v>
      </c>
      <c r="R72" s="120">
        <f>'Pseudo-load coefficients'!R274</f>
        <v>0</v>
      </c>
      <c r="S72" s="120">
        <f>'Pseudo-load coefficients'!S274</f>
        <v>0</v>
      </c>
      <c r="T72" s="120">
        <f>'Pseudo-load coefficients'!T274</f>
        <v>0</v>
      </c>
      <c r="U72" s="120">
        <f>'Pseudo-load coefficients'!U274</f>
        <v>0</v>
      </c>
      <c r="V72" s="120">
        <f>'Pseudo-load coefficients'!V274</f>
        <v>0</v>
      </c>
      <c r="W72" s="120">
        <f>'Pseudo-load coefficients'!W274</f>
        <v>0</v>
      </c>
      <c r="X72" s="120">
        <f>'Pseudo-load coefficients'!X274</f>
        <v>0</v>
      </c>
      <c r="Y72" s="120">
        <f>'Pseudo-load coefficients'!Y274</f>
        <v>0</v>
      </c>
      <c r="AQ72" s="3"/>
    </row>
    <row r="73" spans="3:43" x14ac:dyDescent="0.25">
      <c r="E73" s="32"/>
      <c r="F73" t="s">
        <v>194</v>
      </c>
      <c r="G73" t="s">
        <v>283</v>
      </c>
      <c r="J73" s="120">
        <f>'Pseudo-load coefficients'!J275</f>
        <v>7.1787890556699754</v>
      </c>
      <c r="K73" s="120">
        <f>'Pseudo-load coefficients'!K275</f>
        <v>7.1787890556699754</v>
      </c>
      <c r="L73" s="120">
        <f>'Pseudo-load coefficients'!L275</f>
        <v>7.4967697236709547</v>
      </c>
      <c r="M73" s="120">
        <f>'Pseudo-load coefficients'!M275</f>
        <v>7.4967697236709547</v>
      </c>
      <c r="N73" s="120">
        <f>'Pseudo-load coefficients'!N275</f>
        <v>6.6882451157429355</v>
      </c>
      <c r="O73" s="120">
        <f>'Pseudo-load coefficients'!O275</f>
        <v>5.6928818028203052</v>
      </c>
      <c r="P73" s="120">
        <f>'Pseudo-load coefficients'!P275</f>
        <v>5.8282351311318461</v>
      </c>
      <c r="Q73" s="120">
        <f>'Pseudo-load coefficients'!Q275</f>
        <v>12.377714572836643</v>
      </c>
      <c r="R73" s="120">
        <f>'Pseudo-load coefficients'!R275</f>
        <v>5.1463601532567056</v>
      </c>
      <c r="S73" s="120">
        <f>'Pseudo-load coefficients'!S275</f>
        <v>5.1463601532567056</v>
      </c>
      <c r="T73" s="120">
        <f>'Pseudo-load coefficients'!T275</f>
        <v>5.1463601532567056</v>
      </c>
      <c r="U73" s="120">
        <f>'Pseudo-load coefficients'!U275</f>
        <v>5.1463601532567056</v>
      </c>
      <c r="V73" s="120">
        <f>'Pseudo-load coefficients'!V275</f>
        <v>5.1463601532567056</v>
      </c>
      <c r="W73" s="120">
        <f>'Pseudo-load coefficients'!W275</f>
        <v>5.1463601532567056</v>
      </c>
      <c r="X73" s="120">
        <f>'Pseudo-load coefficients'!X275</f>
        <v>5.1463601532567056</v>
      </c>
      <c r="Y73" s="120">
        <f>'Pseudo-load coefficients'!Y275</f>
        <v>5.1463601532567056</v>
      </c>
      <c r="AQ73" s="3"/>
    </row>
    <row r="74" spans="3:43" x14ac:dyDescent="0.25">
      <c r="E74" s="32"/>
      <c r="F74" t="s">
        <v>195</v>
      </c>
      <c r="G74" t="s">
        <v>283</v>
      </c>
      <c r="J74" s="120">
        <f>'Pseudo-load coefficients'!J276</f>
        <v>7.1787890556699754</v>
      </c>
      <c r="K74" s="120">
        <f>'Pseudo-load coefficients'!K276</f>
        <v>7.1787890556699754</v>
      </c>
      <c r="L74" s="120">
        <f>'Pseudo-load coefficients'!L276</f>
        <v>7.4967697236709547</v>
      </c>
      <c r="M74" s="120">
        <f>'Pseudo-load coefficients'!M276</f>
        <v>7.4967697236709547</v>
      </c>
      <c r="N74" s="120">
        <f>'Pseudo-load coefficients'!N276</f>
        <v>6.6882451157429355</v>
      </c>
      <c r="O74" s="120">
        <f>'Pseudo-load coefficients'!O276</f>
        <v>5.6928818028203052</v>
      </c>
      <c r="P74" s="120">
        <f>'Pseudo-load coefficients'!P276</f>
        <v>5.8282351311318461</v>
      </c>
      <c r="Q74" s="120">
        <f>'Pseudo-load coefficients'!Q276</f>
        <v>12.377714572836643</v>
      </c>
      <c r="R74" s="120">
        <f>'Pseudo-load coefficients'!R276</f>
        <v>5.1463601532567056</v>
      </c>
      <c r="S74" s="120">
        <f>'Pseudo-load coefficients'!S276</f>
        <v>5.1463601532567056</v>
      </c>
      <c r="T74" s="120">
        <f>'Pseudo-load coefficients'!T276</f>
        <v>5.1463601532567056</v>
      </c>
      <c r="U74" s="120">
        <f>'Pseudo-load coefficients'!U276</f>
        <v>5.1463601532567056</v>
      </c>
      <c r="V74" s="120">
        <f>'Pseudo-load coefficients'!V276</f>
        <v>5.1463601532567056</v>
      </c>
      <c r="W74" s="120">
        <f>'Pseudo-load coefficients'!W276</f>
        <v>5.1463601532567056</v>
      </c>
      <c r="X74" s="120">
        <f>'Pseudo-load coefficients'!X276</f>
        <v>5.1463601532567056</v>
      </c>
      <c r="Y74" s="120">
        <f>'Pseudo-load coefficients'!Y276</f>
        <v>5.1463601532567056</v>
      </c>
      <c r="AQ74" s="3"/>
    </row>
    <row r="75" spans="3:43" x14ac:dyDescent="0.25">
      <c r="E75" s="32"/>
      <c r="F75" t="s">
        <v>196</v>
      </c>
      <c r="G75" t="s">
        <v>283</v>
      </c>
      <c r="J75" s="120">
        <f>'Pseudo-load coefficients'!J277</f>
        <v>0</v>
      </c>
      <c r="K75" s="120">
        <f>'Pseudo-load coefficients'!K277</f>
        <v>0</v>
      </c>
      <c r="L75" s="120">
        <f>'Pseudo-load coefficients'!L277</f>
        <v>0</v>
      </c>
      <c r="M75" s="120">
        <f>'Pseudo-load coefficients'!M277</f>
        <v>0</v>
      </c>
      <c r="N75" s="120">
        <f>'Pseudo-load coefficients'!N277</f>
        <v>0</v>
      </c>
      <c r="O75" s="120">
        <f>'Pseudo-load coefficients'!O277</f>
        <v>0</v>
      </c>
      <c r="P75" s="120">
        <f>'Pseudo-load coefficients'!P277</f>
        <v>0</v>
      </c>
      <c r="Q75" s="120">
        <f>'Pseudo-load coefficients'!Q277</f>
        <v>0</v>
      </c>
      <c r="R75" s="120">
        <f>'Pseudo-load coefficients'!R277</f>
        <v>0</v>
      </c>
      <c r="S75" s="120">
        <f>'Pseudo-load coefficients'!S277</f>
        <v>0</v>
      </c>
      <c r="T75" s="120">
        <f>'Pseudo-load coefficients'!T277</f>
        <v>0</v>
      </c>
      <c r="U75" s="120">
        <f>'Pseudo-load coefficients'!U277</f>
        <v>0</v>
      </c>
      <c r="V75" s="120">
        <f>'Pseudo-load coefficients'!V277</f>
        <v>0</v>
      </c>
      <c r="W75" s="120">
        <f>'Pseudo-load coefficients'!W277</f>
        <v>0</v>
      </c>
      <c r="X75" s="120">
        <f>'Pseudo-load coefficients'!X277</f>
        <v>0</v>
      </c>
      <c r="Y75" s="120">
        <f>'Pseudo-load coefficients'!Y277</f>
        <v>0</v>
      </c>
      <c r="AQ75" s="3"/>
    </row>
    <row r="76" spans="3:43" x14ac:dyDescent="0.25">
      <c r="E76" s="32"/>
      <c r="F76" t="s">
        <v>197</v>
      </c>
      <c r="G76" t="s">
        <v>283</v>
      </c>
      <c r="J76" s="120">
        <f>'Pseudo-load coefficients'!J278</f>
        <v>7.1787890556699754</v>
      </c>
      <c r="K76" s="120">
        <f>'Pseudo-load coefficients'!K278</f>
        <v>7.1787890556699754</v>
      </c>
      <c r="L76" s="120">
        <f>'Pseudo-load coefficients'!L278</f>
        <v>7.4967697236709547</v>
      </c>
      <c r="M76" s="120">
        <f>'Pseudo-load coefficients'!M278</f>
        <v>7.4967697236709547</v>
      </c>
      <c r="N76" s="120">
        <f>'Pseudo-load coefficients'!N278</f>
        <v>6.6882451157429355</v>
      </c>
      <c r="O76" s="120">
        <f>'Pseudo-load coefficients'!O278</f>
        <v>5.6928818028203052</v>
      </c>
      <c r="P76" s="120">
        <f>'Pseudo-load coefficients'!P278</f>
        <v>5.8282351311318461</v>
      </c>
      <c r="Q76" s="120">
        <f>'Pseudo-load coefficients'!Q278</f>
        <v>12.377714572836643</v>
      </c>
      <c r="R76" s="120">
        <f>'Pseudo-load coefficients'!R278</f>
        <v>5.1463601532567056</v>
      </c>
      <c r="S76" s="120">
        <f>'Pseudo-load coefficients'!S278</f>
        <v>5.1463601532567056</v>
      </c>
      <c r="T76" s="120">
        <f>'Pseudo-load coefficients'!T278</f>
        <v>5.1463601532567056</v>
      </c>
      <c r="U76" s="120">
        <f>'Pseudo-load coefficients'!U278</f>
        <v>5.1463601532567056</v>
      </c>
      <c r="V76" s="120">
        <f>'Pseudo-load coefficients'!V278</f>
        <v>5.1463601532567056</v>
      </c>
      <c r="W76" s="120">
        <f>'Pseudo-load coefficients'!W278</f>
        <v>5.1463601532567056</v>
      </c>
      <c r="X76" s="120">
        <f>'Pseudo-load coefficients'!X278</f>
        <v>5.1463601532567056</v>
      </c>
      <c r="Y76" s="120">
        <f>'Pseudo-load coefficients'!Y278</f>
        <v>5.1463601532567056</v>
      </c>
      <c r="AQ76" s="3"/>
    </row>
    <row r="77" spans="3:43" x14ac:dyDescent="0.25">
      <c r="E77" s="32"/>
      <c r="F77" t="s">
        <v>198</v>
      </c>
      <c r="G77" t="s">
        <v>283</v>
      </c>
      <c r="J77" s="120">
        <f>'Pseudo-load coefficients'!J279</f>
        <v>7.1787890556699754</v>
      </c>
      <c r="K77" s="120">
        <f>'Pseudo-load coefficients'!K279</f>
        <v>7.1787890556699754</v>
      </c>
      <c r="L77" s="120">
        <f>'Pseudo-load coefficients'!L279</f>
        <v>7.4967697236709547</v>
      </c>
      <c r="M77" s="120">
        <f>'Pseudo-load coefficients'!M279</f>
        <v>7.4967697236709547</v>
      </c>
      <c r="N77" s="120">
        <f>'Pseudo-load coefficients'!N279</f>
        <v>6.6882451157429355</v>
      </c>
      <c r="O77" s="120">
        <f>'Pseudo-load coefficients'!O279</f>
        <v>5.6928818028203052</v>
      </c>
      <c r="P77" s="120">
        <f>'Pseudo-load coefficients'!P279</f>
        <v>5.8282351311318461</v>
      </c>
      <c r="Q77" s="120">
        <f>'Pseudo-load coefficients'!Q279</f>
        <v>12.377714572836643</v>
      </c>
      <c r="R77" s="120">
        <f>'Pseudo-load coefficients'!R279</f>
        <v>5.1463601532567056</v>
      </c>
      <c r="S77" s="120">
        <f>'Pseudo-load coefficients'!S279</f>
        <v>5.1463601532567056</v>
      </c>
      <c r="T77" s="120">
        <f>'Pseudo-load coefficients'!T279</f>
        <v>5.1463601532567056</v>
      </c>
      <c r="U77" s="120">
        <f>'Pseudo-load coefficients'!U279</f>
        <v>5.1463601532567056</v>
      </c>
      <c r="V77" s="120">
        <f>'Pseudo-load coefficients'!V279</f>
        <v>5.1463601532567056</v>
      </c>
      <c r="W77" s="120">
        <f>'Pseudo-load coefficients'!W279</f>
        <v>5.1463601532567056</v>
      </c>
      <c r="X77" s="120">
        <f>'Pseudo-load coefficients'!X279</f>
        <v>5.1463601532567056</v>
      </c>
      <c r="Y77" s="120">
        <f>'Pseudo-load coefficients'!Y279</f>
        <v>5.1463601532567056</v>
      </c>
      <c r="AQ77" s="3"/>
    </row>
    <row r="78" spans="3:43" x14ac:dyDescent="0.25">
      <c r="E78" s="32"/>
      <c r="F78" s="37" t="s">
        <v>199</v>
      </c>
      <c r="G78" s="37" t="s">
        <v>283</v>
      </c>
      <c r="H78" s="37"/>
      <c r="I78" s="37"/>
      <c r="J78" s="125">
        <f>'Pseudo-load coefficients'!J280</f>
        <v>7.1787890556699754</v>
      </c>
      <c r="K78" s="125">
        <f>'Pseudo-load coefficients'!K280</f>
        <v>7.1787890556699754</v>
      </c>
      <c r="L78" s="125">
        <f>'Pseudo-load coefficients'!L280</f>
        <v>7.4967697236709547</v>
      </c>
      <c r="M78" s="125">
        <f>'Pseudo-load coefficients'!M280</f>
        <v>7.4967697236709547</v>
      </c>
      <c r="N78" s="125">
        <f>'Pseudo-load coefficients'!N280</f>
        <v>6.6882451157429355</v>
      </c>
      <c r="O78" s="125">
        <f>'Pseudo-load coefficients'!O280</f>
        <v>5.6928818028203052</v>
      </c>
      <c r="P78" s="125">
        <f>'Pseudo-load coefficients'!P280</f>
        <v>5.8282351311318461</v>
      </c>
      <c r="Q78" s="125">
        <f>'Pseudo-load coefficients'!Q280</f>
        <v>12.377714572836643</v>
      </c>
      <c r="R78" s="125">
        <f>'Pseudo-load coefficients'!R280</f>
        <v>5.1463601532567056</v>
      </c>
      <c r="S78" s="125">
        <f>'Pseudo-load coefficients'!S280</f>
        <v>5.1463601532567056</v>
      </c>
      <c r="T78" s="125">
        <f>'Pseudo-load coefficients'!T280</f>
        <v>5.1463601532567056</v>
      </c>
      <c r="U78" s="125">
        <f>'Pseudo-load coefficients'!U280</f>
        <v>5.1463601532567056</v>
      </c>
      <c r="V78" s="125">
        <f>'Pseudo-load coefficients'!V280</f>
        <v>5.1463601532567056</v>
      </c>
      <c r="W78" s="125">
        <f>'Pseudo-load coefficients'!W280</f>
        <v>5.1463601532567056</v>
      </c>
      <c r="X78" s="125">
        <f>'Pseudo-load coefficients'!X280</f>
        <v>5.1463601532567056</v>
      </c>
      <c r="Y78" s="125">
        <f>'Pseudo-load coefficients'!Y280</f>
        <v>5.1463601532567056</v>
      </c>
      <c r="AQ78" s="3"/>
    </row>
    <row r="79" spans="3:43" x14ac:dyDescent="0.25">
      <c r="E79" s="32"/>
      <c r="J79" s="89"/>
      <c r="K79" s="89"/>
      <c r="L79" s="89"/>
      <c r="M79" s="89"/>
      <c r="N79" s="89"/>
      <c r="O79" s="89"/>
      <c r="P79" s="89"/>
      <c r="Q79" s="89"/>
      <c r="R79" s="89"/>
      <c r="S79" s="89"/>
      <c r="T79" s="89"/>
      <c r="U79" s="89"/>
      <c r="V79" s="89"/>
      <c r="W79" s="89"/>
      <c r="X79" s="89"/>
      <c r="Y79" s="89"/>
      <c r="AQ79" s="3"/>
    </row>
    <row r="80" spans="3:43" x14ac:dyDescent="0.25">
      <c r="E80" s="32" t="s">
        <v>508</v>
      </c>
      <c r="J80" s="89"/>
      <c r="K80" s="89"/>
      <c r="L80" s="89"/>
      <c r="M80" s="89"/>
      <c r="N80" s="89"/>
      <c r="O80" s="89"/>
      <c r="P80" s="89"/>
      <c r="Q80" s="89"/>
      <c r="R80" s="89"/>
      <c r="S80" s="89"/>
      <c r="T80" s="89"/>
      <c r="U80" s="89"/>
      <c r="V80" s="89"/>
      <c r="W80" s="89"/>
      <c r="X80" s="89"/>
      <c r="Y80" s="89"/>
      <c r="AQ80" s="3"/>
    </row>
    <row r="81" spans="5:43" x14ac:dyDescent="0.25">
      <c r="E81" s="29" t="s">
        <v>509</v>
      </c>
      <c r="J81" s="89"/>
      <c r="K81" s="89"/>
      <c r="L81" s="89"/>
      <c r="M81" s="89"/>
      <c r="N81" s="89"/>
      <c r="O81" s="89"/>
      <c r="P81" s="89"/>
      <c r="Q81" s="89"/>
      <c r="R81" s="89"/>
      <c r="S81" s="89"/>
      <c r="T81" s="89"/>
      <c r="U81" s="89"/>
      <c r="V81" s="89"/>
      <c r="W81" s="89"/>
      <c r="X81" s="89"/>
      <c r="Y81" s="89"/>
      <c r="AQ81" s="3"/>
    </row>
    <row r="82" spans="5:43" x14ac:dyDescent="0.25">
      <c r="E82" s="32"/>
      <c r="F82" s="23" t="s">
        <v>191</v>
      </c>
      <c r="G82" s="23" t="s">
        <v>172</v>
      </c>
      <c r="H82" s="23"/>
      <c r="I82" s="23"/>
      <c r="J82" s="158">
        <f t="shared" ref="J82:Y82" si="1">J$56 * J34 * J70 / hours_in_year / $H45</f>
        <v>309.67075784989976</v>
      </c>
      <c r="K82" s="158">
        <f t="shared" si="1"/>
        <v>8.7668596649158612</v>
      </c>
      <c r="L82" s="158">
        <f t="shared" si="1"/>
        <v>106.1725636213022</v>
      </c>
      <c r="M82" s="158">
        <f t="shared" si="1"/>
        <v>3.1874141742568898</v>
      </c>
      <c r="N82" s="158">
        <f t="shared" si="1"/>
        <v>129.35089524031375</v>
      </c>
      <c r="O82" s="158">
        <f t="shared" si="1"/>
        <v>8.5507447893564219</v>
      </c>
      <c r="P82" s="158">
        <f t="shared" si="1"/>
        <v>57.081166948335643</v>
      </c>
      <c r="Q82" s="158">
        <f t="shared" si="1"/>
        <v>8.3464522687162539</v>
      </c>
      <c r="R82" s="158">
        <f t="shared" si="1"/>
        <v>-0.46845329964255294</v>
      </c>
      <c r="S82" s="158">
        <f t="shared" si="1"/>
        <v>-2.814262068965518E-4</v>
      </c>
      <c r="T82" s="158">
        <f t="shared" si="1"/>
        <v>-24.306707519480288</v>
      </c>
      <c r="U82" s="158">
        <f t="shared" si="1"/>
        <v>0</v>
      </c>
      <c r="V82" s="158">
        <f t="shared" si="1"/>
        <v>-0.24385594622988488</v>
      </c>
      <c r="W82" s="158">
        <f t="shared" si="1"/>
        <v>0</v>
      </c>
      <c r="X82" s="158">
        <f t="shared" si="1"/>
        <v>-102.94014601796991</v>
      </c>
      <c r="Y82" s="158">
        <f t="shared" si="1"/>
        <v>0</v>
      </c>
      <c r="AQ82" s="3"/>
    </row>
    <row r="83" spans="5:43" x14ac:dyDescent="0.25">
      <c r="E83" s="32"/>
      <c r="F83" t="s">
        <v>192</v>
      </c>
      <c r="G83" t="s">
        <v>172</v>
      </c>
      <c r="J83" s="89">
        <f t="shared" ref="J83:Y83" si="2">J$56 * J35 * J71 / hours_in_year / $H46</f>
        <v>0</v>
      </c>
      <c r="K83" s="89">
        <f t="shared" si="2"/>
        <v>0</v>
      </c>
      <c r="L83" s="89">
        <f t="shared" si="2"/>
        <v>0</v>
      </c>
      <c r="M83" s="89">
        <f t="shared" si="2"/>
        <v>0</v>
      </c>
      <c r="N83" s="89">
        <f t="shared" si="2"/>
        <v>0</v>
      </c>
      <c r="O83" s="89">
        <f t="shared" si="2"/>
        <v>0</v>
      </c>
      <c r="P83" s="89">
        <f t="shared" si="2"/>
        <v>0</v>
      </c>
      <c r="Q83" s="89">
        <f t="shared" si="2"/>
        <v>0</v>
      </c>
      <c r="R83" s="89">
        <f t="shared" si="2"/>
        <v>0</v>
      </c>
      <c r="S83" s="89">
        <f t="shared" si="2"/>
        <v>0</v>
      </c>
      <c r="T83" s="89">
        <f t="shared" si="2"/>
        <v>0</v>
      </c>
      <c r="U83" s="89">
        <f t="shared" si="2"/>
        <v>0</v>
      </c>
      <c r="V83" s="89">
        <f t="shared" si="2"/>
        <v>0</v>
      </c>
      <c r="W83" s="89">
        <f t="shared" si="2"/>
        <v>0</v>
      </c>
      <c r="X83" s="89">
        <f t="shared" si="2"/>
        <v>0</v>
      </c>
      <c r="Y83" s="89">
        <f t="shared" si="2"/>
        <v>0</v>
      </c>
      <c r="AQ83" s="3"/>
    </row>
    <row r="84" spans="5:43" x14ac:dyDescent="0.25">
      <c r="E84" s="32"/>
      <c r="F84" t="s">
        <v>193</v>
      </c>
      <c r="G84" t="s">
        <v>172</v>
      </c>
      <c r="J84" s="89">
        <f t="shared" ref="J84:Y84" si="3">J$56 * J36 * J72 / hours_in_year / $H47</f>
        <v>0</v>
      </c>
      <c r="K84" s="89">
        <f t="shared" si="3"/>
        <v>0</v>
      </c>
      <c r="L84" s="89">
        <f t="shared" si="3"/>
        <v>0</v>
      </c>
      <c r="M84" s="89">
        <f t="shared" si="3"/>
        <v>0</v>
      </c>
      <c r="N84" s="89">
        <f t="shared" si="3"/>
        <v>0</v>
      </c>
      <c r="O84" s="89">
        <f t="shared" si="3"/>
        <v>0</v>
      </c>
      <c r="P84" s="89">
        <f t="shared" si="3"/>
        <v>0</v>
      </c>
      <c r="Q84" s="89">
        <f t="shared" si="3"/>
        <v>0</v>
      </c>
      <c r="R84" s="89">
        <f t="shared" si="3"/>
        <v>0</v>
      </c>
      <c r="S84" s="89">
        <f t="shared" si="3"/>
        <v>0</v>
      </c>
      <c r="T84" s="89">
        <f t="shared" si="3"/>
        <v>0</v>
      </c>
      <c r="U84" s="89">
        <f t="shared" si="3"/>
        <v>0</v>
      </c>
      <c r="V84" s="89">
        <f t="shared" si="3"/>
        <v>0</v>
      </c>
      <c r="W84" s="89">
        <f t="shared" si="3"/>
        <v>0</v>
      </c>
      <c r="X84" s="89">
        <f t="shared" si="3"/>
        <v>0</v>
      </c>
      <c r="Y84" s="89">
        <f t="shared" si="3"/>
        <v>0</v>
      </c>
      <c r="AQ84" s="3"/>
    </row>
    <row r="85" spans="5:43" x14ac:dyDescent="0.25">
      <c r="E85" s="32"/>
      <c r="F85" t="s">
        <v>194</v>
      </c>
      <c r="G85" t="s">
        <v>172</v>
      </c>
      <c r="J85" s="89">
        <f t="shared" ref="J85:Y85" si="4">J$56 * J37 * J73 / hours_in_year / $H48</f>
        <v>275.45451639972515</v>
      </c>
      <c r="K85" s="89">
        <f t="shared" si="4"/>
        <v>7.7981889737040184</v>
      </c>
      <c r="L85" s="89">
        <f t="shared" si="4"/>
        <v>94.441310410718586</v>
      </c>
      <c r="M85" s="89">
        <f t="shared" si="4"/>
        <v>2.8352293772637371</v>
      </c>
      <c r="N85" s="89">
        <f t="shared" si="4"/>
        <v>115.05861432212616</v>
      </c>
      <c r="O85" s="89">
        <f t="shared" si="4"/>
        <v>7.6059531328150092</v>
      </c>
      <c r="P85" s="89">
        <f t="shared" si="4"/>
        <v>50.774136203415686</v>
      </c>
      <c r="Q85" s="89">
        <f t="shared" si="4"/>
        <v>6.6251244736526775</v>
      </c>
      <c r="R85" s="89">
        <f t="shared" si="4"/>
        <v>-0.41669280627213973</v>
      </c>
      <c r="S85" s="89">
        <f t="shared" si="4"/>
        <v>-2.5033077149788033E-4</v>
      </c>
      <c r="T85" s="89">
        <f t="shared" si="4"/>
        <v>-21.621002937233499</v>
      </c>
      <c r="U85" s="89">
        <f t="shared" si="4"/>
        <v>0</v>
      </c>
      <c r="V85" s="89">
        <f t="shared" si="4"/>
        <v>-0.21691173621407556</v>
      </c>
      <c r="W85" s="89">
        <f t="shared" si="4"/>
        <v>0</v>
      </c>
      <c r="X85" s="89">
        <f t="shared" si="4"/>
        <v>-91.566050137808247</v>
      </c>
      <c r="Y85" s="89">
        <f t="shared" si="4"/>
        <v>0</v>
      </c>
      <c r="AQ85" s="3"/>
    </row>
    <row r="86" spans="5:43" x14ac:dyDescent="0.25">
      <c r="E86" s="32"/>
      <c r="F86" t="s">
        <v>195</v>
      </c>
      <c r="G86" t="s">
        <v>172</v>
      </c>
      <c r="J86" s="89">
        <f t="shared" ref="J86:Y86" si="5">J$56 * J38 * J74 / hours_in_year / $H49</f>
        <v>272.23282614943599</v>
      </c>
      <c r="K86" s="89">
        <f t="shared" si="5"/>
        <v>7.7069820851226849</v>
      </c>
      <c r="L86" s="89">
        <f t="shared" si="5"/>
        <v>93.33673368076866</v>
      </c>
      <c r="M86" s="89">
        <f t="shared" si="5"/>
        <v>2.8020687997518805</v>
      </c>
      <c r="N86" s="89">
        <f t="shared" si="5"/>
        <v>113.71289953473287</v>
      </c>
      <c r="O86" s="89">
        <f t="shared" si="5"/>
        <v>7.5169946166417345</v>
      </c>
      <c r="P86" s="89">
        <f t="shared" si="5"/>
        <v>50.180286657176907</v>
      </c>
      <c r="Q86" s="89">
        <f t="shared" si="5"/>
        <v>6.5476376377035237</v>
      </c>
      <c r="R86" s="89">
        <f t="shared" si="5"/>
        <v>-0.41181920619878137</v>
      </c>
      <c r="S86" s="89">
        <f t="shared" si="5"/>
        <v>-2.4740292621720333E-4</v>
      </c>
      <c r="T86" s="89">
        <f t="shared" si="5"/>
        <v>-21.368125709897434</v>
      </c>
      <c r="U86" s="89">
        <f t="shared" si="5"/>
        <v>0</v>
      </c>
      <c r="V86" s="89">
        <f t="shared" si="5"/>
        <v>-0.21437475684315069</v>
      </c>
      <c r="W86" s="89">
        <f t="shared" si="5"/>
        <v>0</v>
      </c>
      <c r="X86" s="89">
        <f t="shared" si="5"/>
        <v>-90.495102182980077</v>
      </c>
      <c r="Y86" s="89">
        <f t="shared" si="5"/>
        <v>0</v>
      </c>
      <c r="AQ86" s="3"/>
    </row>
    <row r="87" spans="5:43" x14ac:dyDescent="0.25">
      <c r="E87" s="32"/>
      <c r="F87" t="s">
        <v>196</v>
      </c>
      <c r="G87" t="s">
        <v>172</v>
      </c>
      <c r="J87" s="89">
        <f t="shared" ref="J87:Y87" si="6">J$56 * J39 * J75 / hours_in_year / $H50</f>
        <v>0</v>
      </c>
      <c r="K87" s="89">
        <f t="shared" si="6"/>
        <v>0</v>
      </c>
      <c r="L87" s="89">
        <f t="shared" si="6"/>
        <v>0</v>
      </c>
      <c r="M87" s="89">
        <f t="shared" si="6"/>
        <v>0</v>
      </c>
      <c r="N87" s="89">
        <f t="shared" si="6"/>
        <v>0</v>
      </c>
      <c r="O87" s="89">
        <f t="shared" si="6"/>
        <v>0</v>
      </c>
      <c r="P87" s="89">
        <f t="shared" si="6"/>
        <v>0</v>
      </c>
      <c r="Q87" s="89">
        <f t="shared" si="6"/>
        <v>0</v>
      </c>
      <c r="R87" s="89">
        <f t="shared" si="6"/>
        <v>0</v>
      </c>
      <c r="S87" s="89">
        <f t="shared" si="6"/>
        <v>0</v>
      </c>
      <c r="T87" s="89">
        <f t="shared" si="6"/>
        <v>0</v>
      </c>
      <c r="U87" s="89">
        <f t="shared" si="6"/>
        <v>0</v>
      </c>
      <c r="V87" s="89">
        <f t="shared" si="6"/>
        <v>0</v>
      </c>
      <c r="W87" s="89">
        <f t="shared" si="6"/>
        <v>0</v>
      </c>
      <c r="X87" s="89">
        <f t="shared" si="6"/>
        <v>0</v>
      </c>
      <c r="Y87" s="89">
        <f t="shared" si="6"/>
        <v>0</v>
      </c>
      <c r="AQ87" s="3"/>
    </row>
    <row r="88" spans="5:43" x14ac:dyDescent="0.25">
      <c r="E88" s="32"/>
      <c r="F88" t="s">
        <v>197</v>
      </c>
      <c r="G88" t="s">
        <v>172</v>
      </c>
      <c r="J88" s="89">
        <f t="shared" ref="J88:Y88" si="7">J$56 * J40 * J76 / hours_in_year / $H51</f>
        <v>269.6050961672986</v>
      </c>
      <c r="K88" s="89">
        <f t="shared" si="7"/>
        <v>7.6325903661543197</v>
      </c>
      <c r="L88" s="89">
        <f t="shared" si="7"/>
        <v>92.435799957981317</v>
      </c>
      <c r="M88" s="89">
        <f t="shared" si="7"/>
        <v>2.7750218036152794</v>
      </c>
      <c r="N88" s="89">
        <f>N$56 * N40 * N76 / hours_in_year / $H51</f>
        <v>112.615284674359</v>
      </c>
      <c r="O88" s="89">
        <f t="shared" si="7"/>
        <v>7.4444367535467366</v>
      </c>
      <c r="P88" s="89">
        <f t="shared" si="7"/>
        <v>49.695920955852806</v>
      </c>
      <c r="Q88" s="89">
        <f t="shared" si="7"/>
        <v>6.4844365022044546</v>
      </c>
      <c r="R88" s="89">
        <f t="shared" si="7"/>
        <v>-0.40784411733585879</v>
      </c>
      <c r="S88" s="89">
        <f t="shared" si="7"/>
        <v>-2.4501486708383268E-4</v>
      </c>
      <c r="T88" s="89">
        <f t="shared" si="7"/>
        <v>-21.161869670226611</v>
      </c>
      <c r="U88" s="89">
        <f t="shared" si="7"/>
        <v>0</v>
      </c>
      <c r="V88" s="89">
        <f t="shared" si="7"/>
        <v>-0.21230550243346777</v>
      </c>
      <c r="W88" s="89">
        <f t="shared" si="7"/>
        <v>0</v>
      </c>
      <c r="X88" s="89">
        <f t="shared" si="7"/>
        <v>0</v>
      </c>
      <c r="Y88" s="89">
        <f t="shared" si="7"/>
        <v>0</v>
      </c>
      <c r="AQ88" s="3"/>
    </row>
    <row r="89" spans="5:43" x14ac:dyDescent="0.25">
      <c r="E89" s="32"/>
      <c r="F89" t="s">
        <v>198</v>
      </c>
      <c r="G89" t="s">
        <v>172</v>
      </c>
      <c r="J89" s="89">
        <f t="shared" ref="J89:Y89" si="8">J$56 * J41 * J77 / hours_in_year / $H52</f>
        <v>263.74965026375952</v>
      </c>
      <c r="K89" s="89">
        <f t="shared" si="8"/>
        <v>7.4668211702888341</v>
      </c>
      <c r="L89" s="89">
        <f t="shared" si="8"/>
        <v>90.4282235660705</v>
      </c>
      <c r="M89" s="89">
        <f t="shared" si="8"/>
        <v>2.7147522082581959</v>
      </c>
      <c r="N89" s="89">
        <f t="shared" si="8"/>
        <v>110.16943807614346</v>
      </c>
      <c r="O89" s="89">
        <f t="shared" si="8"/>
        <v>7.2827539911939754</v>
      </c>
      <c r="P89" s="89">
        <f t="shared" si="8"/>
        <v>0</v>
      </c>
      <c r="Q89" s="89">
        <f t="shared" si="8"/>
        <v>6.3436036036674368</v>
      </c>
      <c r="R89" s="89">
        <f t="shared" si="8"/>
        <v>-0.39898631308777122</v>
      </c>
      <c r="S89" s="89">
        <f t="shared" si="8"/>
        <v>0</v>
      </c>
      <c r="T89" s="89">
        <f t="shared" si="8"/>
        <v>-20.702263435651343</v>
      </c>
      <c r="U89" s="89">
        <f t="shared" si="8"/>
        <v>0</v>
      </c>
      <c r="V89" s="89">
        <f t="shared" si="8"/>
        <v>0</v>
      </c>
      <c r="W89" s="89">
        <f t="shared" si="8"/>
        <v>0</v>
      </c>
      <c r="X89" s="89">
        <f t="shared" si="8"/>
        <v>0</v>
      </c>
      <c r="Y89" s="89">
        <f t="shared" si="8"/>
        <v>0</v>
      </c>
      <c r="AQ89" s="3"/>
    </row>
    <row r="90" spans="5:43" x14ac:dyDescent="0.25">
      <c r="E90" s="32"/>
      <c r="F90" s="37" t="s">
        <v>199</v>
      </c>
      <c r="G90" s="37" t="s">
        <v>172</v>
      </c>
      <c r="H90" s="37"/>
      <c r="I90" s="37"/>
      <c r="J90" s="82">
        <f t="shared" ref="J90:Y90" si="9">J$56 * J42 * J78 / hours_in_year / $H53</f>
        <v>255.54517806891249</v>
      </c>
      <c r="K90" s="82">
        <f t="shared" si="9"/>
        <v>7.2345504294015326</v>
      </c>
      <c r="L90" s="82">
        <f t="shared" si="9"/>
        <v>87.615268761636457</v>
      </c>
      <c r="M90" s="82">
        <f t="shared" si="9"/>
        <v>2.6303042896115549</v>
      </c>
      <c r="N90" s="82">
        <f t="shared" si="9"/>
        <v>106.74239242693132</v>
      </c>
      <c r="O90" s="82">
        <f t="shared" si="9"/>
        <v>0</v>
      </c>
      <c r="P90" s="82">
        <f t="shared" si="9"/>
        <v>0</v>
      </c>
      <c r="Q90" s="82">
        <f t="shared" si="9"/>
        <v>6.1462728419797035</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25">
      <c r="E91" s="32"/>
      <c r="J91" s="89"/>
      <c r="K91" s="89"/>
      <c r="L91" s="89"/>
      <c r="M91" s="89"/>
      <c r="N91" s="89"/>
      <c r="O91" s="89"/>
      <c r="P91" s="89"/>
      <c r="Q91" s="89"/>
      <c r="R91" s="89"/>
      <c r="S91" s="89"/>
      <c r="T91" s="89"/>
      <c r="U91" s="89"/>
      <c r="V91" s="89"/>
      <c r="W91" s="89"/>
      <c r="X91" s="89"/>
      <c r="Y91" s="89"/>
      <c r="AQ91" s="3"/>
    </row>
    <row r="92" spans="5:43" x14ac:dyDescent="0.25">
      <c r="E92" s="32" t="s">
        <v>510</v>
      </c>
      <c r="J92" s="89"/>
      <c r="K92" s="89"/>
      <c r="L92" s="89"/>
      <c r="M92" s="89"/>
      <c r="N92" s="89"/>
      <c r="O92" s="89"/>
      <c r="P92" s="89"/>
      <c r="Q92" s="89"/>
      <c r="R92" s="89"/>
      <c r="S92" s="89"/>
      <c r="T92" s="89"/>
      <c r="U92" s="89"/>
      <c r="V92" s="89"/>
      <c r="W92" s="89"/>
      <c r="X92" s="89"/>
      <c r="Y92" s="89"/>
      <c r="AQ92" s="3"/>
    </row>
    <row r="93" spans="5:43" x14ac:dyDescent="0.25">
      <c r="E93" s="32"/>
      <c r="F93" s="23" t="s">
        <v>191</v>
      </c>
      <c r="G93" s="23" t="s">
        <v>283</v>
      </c>
      <c r="H93" s="23"/>
      <c r="I93" s="23"/>
      <c r="J93" s="124">
        <f>'Pseudo-load coefficients'!J283</f>
        <v>1.088968582520967</v>
      </c>
      <c r="K93" s="124">
        <f>'Pseudo-load coefficients'!K283</f>
        <v>1.088968582520967</v>
      </c>
      <c r="L93" s="124">
        <f>'Pseudo-load coefficients'!L283</f>
        <v>1.1372038704806549</v>
      </c>
      <c r="M93" s="124">
        <f>'Pseudo-load coefficients'!M283</f>
        <v>1.1372038704806549</v>
      </c>
      <c r="N93" s="124">
        <f>'Pseudo-load coefficients'!N283</f>
        <v>1.0145567374612927</v>
      </c>
      <c r="O93" s="124">
        <f>'Pseudo-load coefficients'!O283</f>
        <v>0.86356757096522108</v>
      </c>
      <c r="P93" s="124">
        <f>'Pseudo-load coefficients'!P283</f>
        <v>0.88409965805231805</v>
      </c>
      <c r="Q93" s="124">
        <f>'Pseudo-load coefficients'!Q283</f>
        <v>0.98419171949664397</v>
      </c>
      <c r="R93" s="124">
        <f>'Pseudo-load coefficients'!R283</f>
        <v>0.78066432622198212</v>
      </c>
      <c r="S93" s="124">
        <f>'Pseudo-load coefficients'!S283</f>
        <v>0.78066432622198212</v>
      </c>
      <c r="T93" s="124">
        <f>'Pseudo-load coefficients'!T283</f>
        <v>0.78066432622198212</v>
      </c>
      <c r="U93" s="124">
        <f>'Pseudo-load coefficients'!U283</f>
        <v>0.78066432622198212</v>
      </c>
      <c r="V93" s="124">
        <f>'Pseudo-load coefficients'!V283</f>
        <v>0.78066432622198212</v>
      </c>
      <c r="W93" s="124">
        <f>'Pseudo-load coefficients'!W283</f>
        <v>0.78066432622198212</v>
      </c>
      <c r="X93" s="124">
        <f>'Pseudo-load coefficients'!X283</f>
        <v>0.78066432622198212</v>
      </c>
      <c r="Y93" s="124">
        <f>'Pseudo-load coefficients'!Y283</f>
        <v>0.78066432622198212</v>
      </c>
      <c r="AQ93" s="3"/>
    </row>
    <row r="94" spans="5:43" x14ac:dyDescent="0.25">
      <c r="E94" s="32"/>
      <c r="F94" t="s">
        <v>192</v>
      </c>
      <c r="G94" t="s">
        <v>283</v>
      </c>
      <c r="J94" s="120">
        <f>'Pseudo-load coefficients'!J284</f>
        <v>0</v>
      </c>
      <c r="K94" s="120">
        <f>'Pseudo-load coefficients'!K284</f>
        <v>0</v>
      </c>
      <c r="L94" s="120">
        <f>'Pseudo-load coefficients'!L284</f>
        <v>0</v>
      </c>
      <c r="M94" s="120">
        <f>'Pseudo-load coefficients'!M284</f>
        <v>0</v>
      </c>
      <c r="N94" s="120">
        <f>'Pseudo-load coefficients'!N284</f>
        <v>0</v>
      </c>
      <c r="O94" s="120">
        <f>'Pseudo-load coefficients'!O284</f>
        <v>0</v>
      </c>
      <c r="P94" s="120">
        <f>'Pseudo-load coefficients'!P284</f>
        <v>0</v>
      </c>
      <c r="Q94" s="120">
        <f>'Pseudo-load coefficients'!Q284</f>
        <v>0</v>
      </c>
      <c r="R94" s="120">
        <f>'Pseudo-load coefficients'!R284</f>
        <v>0</v>
      </c>
      <c r="S94" s="120">
        <f>'Pseudo-load coefficients'!S284</f>
        <v>0</v>
      </c>
      <c r="T94" s="120">
        <f>'Pseudo-load coefficients'!T284</f>
        <v>0</v>
      </c>
      <c r="U94" s="120">
        <f>'Pseudo-load coefficients'!U284</f>
        <v>0</v>
      </c>
      <c r="V94" s="120">
        <f>'Pseudo-load coefficients'!V284</f>
        <v>0</v>
      </c>
      <c r="W94" s="120">
        <f>'Pseudo-load coefficients'!W284</f>
        <v>0</v>
      </c>
      <c r="X94" s="120">
        <f>'Pseudo-load coefficients'!X284</f>
        <v>0</v>
      </c>
      <c r="Y94" s="120">
        <f>'Pseudo-load coefficients'!Y284</f>
        <v>0</v>
      </c>
      <c r="AQ94" s="3"/>
    </row>
    <row r="95" spans="5:43" x14ac:dyDescent="0.25">
      <c r="E95" s="32"/>
      <c r="F95" t="s">
        <v>193</v>
      </c>
      <c r="G95" t="s">
        <v>283</v>
      </c>
      <c r="J95" s="120">
        <f>'Pseudo-load coefficients'!J285</f>
        <v>0</v>
      </c>
      <c r="K95" s="120">
        <f>'Pseudo-load coefficients'!K285</f>
        <v>0</v>
      </c>
      <c r="L95" s="120">
        <f>'Pseudo-load coefficients'!L285</f>
        <v>0</v>
      </c>
      <c r="M95" s="120">
        <f>'Pseudo-load coefficients'!M285</f>
        <v>0</v>
      </c>
      <c r="N95" s="120">
        <f>'Pseudo-load coefficients'!N285</f>
        <v>0</v>
      </c>
      <c r="O95" s="120">
        <f>'Pseudo-load coefficients'!O285</f>
        <v>0</v>
      </c>
      <c r="P95" s="120">
        <f>'Pseudo-load coefficients'!P285</f>
        <v>0</v>
      </c>
      <c r="Q95" s="120">
        <f>'Pseudo-load coefficients'!Q285</f>
        <v>0</v>
      </c>
      <c r="R95" s="120">
        <f>'Pseudo-load coefficients'!R285</f>
        <v>0</v>
      </c>
      <c r="S95" s="120">
        <f>'Pseudo-load coefficients'!S285</f>
        <v>0</v>
      </c>
      <c r="T95" s="120">
        <f>'Pseudo-load coefficients'!T285</f>
        <v>0</v>
      </c>
      <c r="U95" s="120">
        <f>'Pseudo-load coefficients'!U285</f>
        <v>0</v>
      </c>
      <c r="V95" s="120">
        <f>'Pseudo-load coefficients'!V285</f>
        <v>0</v>
      </c>
      <c r="W95" s="120">
        <f>'Pseudo-load coefficients'!W285</f>
        <v>0</v>
      </c>
      <c r="X95" s="120">
        <f>'Pseudo-load coefficients'!X285</f>
        <v>0</v>
      </c>
      <c r="Y95" s="120">
        <f>'Pseudo-load coefficients'!Y285</f>
        <v>0</v>
      </c>
      <c r="AQ95" s="3"/>
    </row>
    <row r="96" spans="5:43" x14ac:dyDescent="0.25">
      <c r="E96" s="32"/>
      <c r="F96" t="s">
        <v>194</v>
      </c>
      <c r="G96" t="s">
        <v>283</v>
      </c>
      <c r="J96" s="120">
        <f>'Pseudo-load coefficients'!J286</f>
        <v>1.1549666784313286</v>
      </c>
      <c r="K96" s="120">
        <f>'Pseudo-load coefficients'!K286</f>
        <v>1.1549666784313286</v>
      </c>
      <c r="L96" s="120">
        <f>'Pseudo-load coefficients'!L286</f>
        <v>1.2061253171764519</v>
      </c>
      <c r="M96" s="120">
        <f>'Pseudo-load coefficients'!M286</f>
        <v>1.2061253171764519</v>
      </c>
      <c r="N96" s="120">
        <f>'Pseudo-load coefficients'!N286</f>
        <v>1.0760450245801589</v>
      </c>
      <c r="O96" s="120">
        <f>'Pseudo-load coefficients'!O286</f>
        <v>0.91590499950856774</v>
      </c>
      <c r="P96" s="120">
        <f>'Pseudo-load coefficients'!P286</f>
        <v>0.93768145551003423</v>
      </c>
      <c r="Q96" s="120">
        <f>'Pseudo-load coefficients'!Q286</f>
        <v>1.0986326171125327</v>
      </c>
      <c r="R96" s="120">
        <f>'Pseudo-load coefficients'!R286</f>
        <v>0.82797731568998101</v>
      </c>
      <c r="S96" s="120">
        <f>'Pseudo-load coefficients'!S286</f>
        <v>0.82797731568998101</v>
      </c>
      <c r="T96" s="120">
        <f>'Pseudo-load coefficients'!T286</f>
        <v>0.82797731568998101</v>
      </c>
      <c r="U96" s="120">
        <f>'Pseudo-load coefficients'!U286</f>
        <v>0.82797731568998101</v>
      </c>
      <c r="V96" s="120">
        <f>'Pseudo-load coefficients'!V286</f>
        <v>0.82797731568998101</v>
      </c>
      <c r="W96" s="120">
        <f>'Pseudo-load coefficients'!W286</f>
        <v>0.82797731568998101</v>
      </c>
      <c r="X96" s="120">
        <f>'Pseudo-load coefficients'!X286</f>
        <v>0.82797731568998101</v>
      </c>
      <c r="Y96" s="120">
        <f>'Pseudo-load coefficients'!Y286</f>
        <v>0.82797731568998101</v>
      </c>
      <c r="AQ96" s="3"/>
    </row>
    <row r="97" spans="5:43" x14ac:dyDescent="0.25">
      <c r="E97" s="32"/>
      <c r="F97" t="s">
        <v>195</v>
      </c>
      <c r="G97" t="s">
        <v>283</v>
      </c>
      <c r="J97" s="120">
        <f>'Pseudo-load coefficients'!J287</f>
        <v>1.1549666784313286</v>
      </c>
      <c r="K97" s="120">
        <f>'Pseudo-load coefficients'!K287</f>
        <v>1.1549666784313286</v>
      </c>
      <c r="L97" s="120">
        <f>'Pseudo-load coefficients'!L287</f>
        <v>1.2061253171764519</v>
      </c>
      <c r="M97" s="120">
        <f>'Pseudo-load coefficients'!M287</f>
        <v>1.2061253171764519</v>
      </c>
      <c r="N97" s="120">
        <f>'Pseudo-load coefficients'!N287</f>
        <v>1.0760450245801589</v>
      </c>
      <c r="O97" s="120">
        <f>'Pseudo-load coefficients'!O287</f>
        <v>0.91590499950856774</v>
      </c>
      <c r="P97" s="120">
        <f>'Pseudo-load coefficients'!P287</f>
        <v>0.93768145551003423</v>
      </c>
      <c r="Q97" s="120">
        <f>'Pseudo-load coefficients'!Q287</f>
        <v>1.0986326171125327</v>
      </c>
      <c r="R97" s="120">
        <f>'Pseudo-load coefficients'!R287</f>
        <v>0.82797731568998101</v>
      </c>
      <c r="S97" s="120">
        <f>'Pseudo-load coefficients'!S287</f>
        <v>0.82797731568998101</v>
      </c>
      <c r="T97" s="120">
        <f>'Pseudo-load coefficients'!T287</f>
        <v>0.82797731568998101</v>
      </c>
      <c r="U97" s="120">
        <f>'Pseudo-load coefficients'!U287</f>
        <v>0.82797731568998101</v>
      </c>
      <c r="V97" s="120">
        <f>'Pseudo-load coefficients'!V287</f>
        <v>0.82797731568998101</v>
      </c>
      <c r="W97" s="120">
        <f>'Pseudo-load coefficients'!W287</f>
        <v>0.82797731568998101</v>
      </c>
      <c r="X97" s="120">
        <f>'Pseudo-load coefficients'!X287</f>
        <v>0.82797731568998101</v>
      </c>
      <c r="Y97" s="120">
        <f>'Pseudo-load coefficients'!Y287</f>
        <v>0.82797731568998101</v>
      </c>
      <c r="AQ97" s="3"/>
    </row>
    <row r="98" spans="5:43" x14ac:dyDescent="0.25">
      <c r="E98" s="32"/>
      <c r="F98" t="s">
        <v>196</v>
      </c>
      <c r="G98" t="s">
        <v>283</v>
      </c>
      <c r="J98" s="120">
        <f>'Pseudo-load coefficients'!J288</f>
        <v>0</v>
      </c>
      <c r="K98" s="120">
        <f>'Pseudo-load coefficients'!K288</f>
        <v>0</v>
      </c>
      <c r="L98" s="120">
        <f>'Pseudo-load coefficients'!L288</f>
        <v>0</v>
      </c>
      <c r="M98" s="120">
        <f>'Pseudo-load coefficients'!M288</f>
        <v>0</v>
      </c>
      <c r="N98" s="120">
        <f>'Pseudo-load coefficients'!N288</f>
        <v>0</v>
      </c>
      <c r="O98" s="120">
        <f>'Pseudo-load coefficients'!O288</f>
        <v>0</v>
      </c>
      <c r="P98" s="120">
        <f>'Pseudo-load coefficients'!P288</f>
        <v>0</v>
      </c>
      <c r="Q98" s="120">
        <f>'Pseudo-load coefficients'!Q288</f>
        <v>0</v>
      </c>
      <c r="R98" s="120">
        <f>'Pseudo-load coefficients'!R288</f>
        <v>0</v>
      </c>
      <c r="S98" s="120">
        <f>'Pseudo-load coefficients'!S288</f>
        <v>0</v>
      </c>
      <c r="T98" s="120">
        <f>'Pseudo-load coefficients'!T288</f>
        <v>0</v>
      </c>
      <c r="U98" s="120">
        <f>'Pseudo-load coefficients'!U288</f>
        <v>0</v>
      </c>
      <c r="V98" s="120">
        <f>'Pseudo-load coefficients'!V288</f>
        <v>0</v>
      </c>
      <c r="W98" s="120">
        <f>'Pseudo-load coefficients'!W288</f>
        <v>0</v>
      </c>
      <c r="X98" s="120">
        <f>'Pseudo-load coefficients'!X288</f>
        <v>0</v>
      </c>
      <c r="Y98" s="120">
        <f>'Pseudo-load coefficients'!Y288</f>
        <v>0</v>
      </c>
      <c r="AQ98" s="3"/>
    </row>
    <row r="99" spans="5:43" x14ac:dyDescent="0.25">
      <c r="E99" s="32"/>
      <c r="F99" t="s">
        <v>197</v>
      </c>
      <c r="G99" t="s">
        <v>283</v>
      </c>
      <c r="J99" s="120">
        <f>'Pseudo-load coefficients'!J289</f>
        <v>1.1549666784313286</v>
      </c>
      <c r="K99" s="120">
        <f>'Pseudo-load coefficients'!K289</f>
        <v>1.1549666784313286</v>
      </c>
      <c r="L99" s="120">
        <f>'Pseudo-load coefficients'!L289</f>
        <v>1.2061253171764519</v>
      </c>
      <c r="M99" s="120">
        <f>'Pseudo-load coefficients'!M289</f>
        <v>1.2061253171764519</v>
      </c>
      <c r="N99" s="120">
        <f>'Pseudo-load coefficients'!N289</f>
        <v>1.0760450245801589</v>
      </c>
      <c r="O99" s="120">
        <f>'Pseudo-load coefficients'!O289</f>
        <v>0.91590499950856774</v>
      </c>
      <c r="P99" s="120">
        <f>'Pseudo-load coefficients'!P289</f>
        <v>0.93768145551003423</v>
      </c>
      <c r="Q99" s="120">
        <f>'Pseudo-load coefficients'!Q289</f>
        <v>1.0986326171125327</v>
      </c>
      <c r="R99" s="120">
        <f>'Pseudo-load coefficients'!R289</f>
        <v>0.82797731568998101</v>
      </c>
      <c r="S99" s="120">
        <f>'Pseudo-load coefficients'!S289</f>
        <v>0.82797731568998101</v>
      </c>
      <c r="T99" s="120">
        <f>'Pseudo-load coefficients'!T289</f>
        <v>0.82797731568998101</v>
      </c>
      <c r="U99" s="120">
        <f>'Pseudo-load coefficients'!U289</f>
        <v>0.82797731568998101</v>
      </c>
      <c r="V99" s="120">
        <f>'Pseudo-load coefficients'!V289</f>
        <v>0.82797731568998101</v>
      </c>
      <c r="W99" s="120">
        <f>'Pseudo-load coefficients'!W289</f>
        <v>0.82797731568998101</v>
      </c>
      <c r="X99" s="120">
        <f>'Pseudo-load coefficients'!X289</f>
        <v>0.82797731568998101</v>
      </c>
      <c r="Y99" s="120">
        <f>'Pseudo-load coefficients'!Y289</f>
        <v>0.82797731568998101</v>
      </c>
      <c r="AQ99" s="3"/>
    </row>
    <row r="100" spans="5:43" x14ac:dyDescent="0.25">
      <c r="E100" s="32"/>
      <c r="F100" t="s">
        <v>198</v>
      </c>
      <c r="G100" t="s">
        <v>283</v>
      </c>
      <c r="J100" s="120">
        <f>'Pseudo-load coefficients'!J290</f>
        <v>1.1549666784313286</v>
      </c>
      <c r="K100" s="120">
        <f>'Pseudo-load coefficients'!K290</f>
        <v>1.1549666784313286</v>
      </c>
      <c r="L100" s="120">
        <f>'Pseudo-load coefficients'!L290</f>
        <v>1.2061253171764519</v>
      </c>
      <c r="M100" s="120">
        <f>'Pseudo-load coefficients'!M290</f>
        <v>1.2061253171764519</v>
      </c>
      <c r="N100" s="120">
        <f>'Pseudo-load coefficients'!N290</f>
        <v>1.0760450245801589</v>
      </c>
      <c r="O100" s="120">
        <f>'Pseudo-load coefficients'!O290</f>
        <v>0.91590499950856774</v>
      </c>
      <c r="P100" s="120">
        <f>'Pseudo-load coefficients'!P290</f>
        <v>0.93768145551003423</v>
      </c>
      <c r="Q100" s="120">
        <f>'Pseudo-load coefficients'!Q290</f>
        <v>1.0986326171125327</v>
      </c>
      <c r="R100" s="120">
        <f>'Pseudo-load coefficients'!R290</f>
        <v>0.82797731568998101</v>
      </c>
      <c r="S100" s="120">
        <f>'Pseudo-load coefficients'!S290</f>
        <v>0.82797731568998101</v>
      </c>
      <c r="T100" s="120">
        <f>'Pseudo-load coefficients'!T290</f>
        <v>0.82797731568998101</v>
      </c>
      <c r="U100" s="120">
        <f>'Pseudo-load coefficients'!U290</f>
        <v>0.82797731568998101</v>
      </c>
      <c r="V100" s="120">
        <f>'Pseudo-load coefficients'!V290</f>
        <v>0.82797731568998101</v>
      </c>
      <c r="W100" s="120">
        <f>'Pseudo-load coefficients'!W290</f>
        <v>0.82797731568998101</v>
      </c>
      <c r="X100" s="120">
        <f>'Pseudo-load coefficients'!X290</f>
        <v>0.82797731568998101</v>
      </c>
      <c r="Y100" s="120">
        <f>'Pseudo-load coefficients'!Y290</f>
        <v>0.82797731568998101</v>
      </c>
      <c r="AQ100" s="3"/>
    </row>
    <row r="101" spans="5:43" x14ac:dyDescent="0.25">
      <c r="E101" s="32"/>
      <c r="F101" s="37" t="s">
        <v>199</v>
      </c>
      <c r="G101" s="37" t="s">
        <v>283</v>
      </c>
      <c r="H101" s="37"/>
      <c r="I101" s="37"/>
      <c r="J101" s="125">
        <f>'Pseudo-load coefficients'!J291</f>
        <v>1.1549666784313286</v>
      </c>
      <c r="K101" s="125">
        <f>'Pseudo-load coefficients'!K291</f>
        <v>1.1549666784313286</v>
      </c>
      <c r="L101" s="125">
        <f>'Pseudo-load coefficients'!L291</f>
        <v>1.2061253171764519</v>
      </c>
      <c r="M101" s="125">
        <f>'Pseudo-load coefficients'!M291</f>
        <v>1.2061253171764519</v>
      </c>
      <c r="N101" s="125">
        <f>'Pseudo-load coefficients'!N291</f>
        <v>1.0760450245801589</v>
      </c>
      <c r="O101" s="125">
        <f>'Pseudo-load coefficients'!O291</f>
        <v>0.91590499950856774</v>
      </c>
      <c r="P101" s="125">
        <f>'Pseudo-load coefficients'!P291</f>
        <v>0.93768145551003423</v>
      </c>
      <c r="Q101" s="125">
        <f>'Pseudo-load coefficients'!Q291</f>
        <v>1.0986326171125327</v>
      </c>
      <c r="R101" s="125">
        <f>'Pseudo-load coefficients'!R291</f>
        <v>0.82797731568998101</v>
      </c>
      <c r="S101" s="125">
        <f>'Pseudo-load coefficients'!S291</f>
        <v>0.82797731568998101</v>
      </c>
      <c r="T101" s="125">
        <f>'Pseudo-load coefficients'!T291</f>
        <v>0.82797731568998101</v>
      </c>
      <c r="U101" s="125">
        <f>'Pseudo-load coefficients'!U291</f>
        <v>0.82797731568998101</v>
      </c>
      <c r="V101" s="125">
        <f>'Pseudo-load coefficients'!V291</f>
        <v>0.82797731568998101</v>
      </c>
      <c r="W101" s="125">
        <f>'Pseudo-load coefficients'!W291</f>
        <v>0.82797731568998101</v>
      </c>
      <c r="X101" s="125">
        <f>'Pseudo-load coefficients'!X291</f>
        <v>0.82797731568998101</v>
      </c>
      <c r="Y101" s="125">
        <f>'Pseudo-load coefficients'!Y291</f>
        <v>0.82797731568998101</v>
      </c>
      <c r="AQ101" s="3"/>
    </row>
    <row r="102" spans="5:43" x14ac:dyDescent="0.25">
      <c r="E102" s="32"/>
      <c r="J102" s="89"/>
      <c r="K102" s="89"/>
      <c r="L102" s="89"/>
      <c r="M102" s="89"/>
      <c r="N102" s="89"/>
      <c r="O102" s="89"/>
      <c r="P102" s="89"/>
      <c r="Q102" s="89"/>
      <c r="R102" s="89"/>
      <c r="S102" s="89"/>
      <c r="T102" s="89"/>
      <c r="U102" s="89"/>
      <c r="V102" s="89"/>
      <c r="W102" s="89"/>
      <c r="X102" s="89"/>
      <c r="Y102" s="89"/>
      <c r="AQ102" s="3"/>
    </row>
    <row r="103" spans="5:43" x14ac:dyDescent="0.25">
      <c r="E103" s="32" t="s">
        <v>511</v>
      </c>
      <c r="J103" s="89"/>
      <c r="K103" s="89"/>
      <c r="L103" s="89"/>
      <c r="M103" s="89"/>
      <c r="N103" s="89"/>
      <c r="O103" s="89"/>
      <c r="P103" s="89"/>
      <c r="Q103" s="89"/>
      <c r="R103" s="89"/>
      <c r="S103" s="89"/>
      <c r="T103" s="89"/>
      <c r="U103" s="89"/>
      <c r="V103" s="89"/>
      <c r="W103" s="89"/>
      <c r="X103" s="89"/>
      <c r="Y103" s="89"/>
      <c r="AQ103" s="3"/>
    </row>
    <row r="104" spans="5:43" x14ac:dyDescent="0.25">
      <c r="E104" s="29" t="s">
        <v>512</v>
      </c>
      <c r="J104" s="89"/>
      <c r="K104" s="89"/>
      <c r="L104" s="89"/>
      <c r="M104" s="89"/>
      <c r="N104" s="89"/>
      <c r="O104" s="89"/>
      <c r="P104" s="89"/>
      <c r="Q104" s="89"/>
      <c r="R104" s="89"/>
      <c r="S104" s="89"/>
      <c r="T104" s="89"/>
      <c r="U104" s="89"/>
      <c r="V104" s="89"/>
      <c r="W104" s="89"/>
      <c r="X104" s="89"/>
      <c r="Y104" s="89"/>
      <c r="AQ104" s="3"/>
    </row>
    <row r="105" spans="5:43" x14ac:dyDescent="0.25">
      <c r="E105" s="32"/>
      <c r="F105" s="23" t="s">
        <v>191</v>
      </c>
      <c r="G105" s="23" t="s">
        <v>172</v>
      </c>
      <c r="H105" s="23"/>
      <c r="I105" s="23"/>
      <c r="J105" s="158">
        <f t="shared" ref="J105:Y105" si="10">J$57 * J34 * J93 / hours_in_year / $H45</f>
        <v>166.04343804536211</v>
      </c>
      <c r="K105" s="158">
        <f t="shared" si="10"/>
        <v>20.501518134560314</v>
      </c>
      <c r="L105" s="158">
        <f t="shared" si="10"/>
        <v>77.367645980997096</v>
      </c>
      <c r="M105" s="158">
        <f t="shared" si="10"/>
        <v>2.0364632831748701</v>
      </c>
      <c r="N105" s="158">
        <f t="shared" si="10"/>
        <v>93.725468698271015</v>
      </c>
      <c r="O105" s="158">
        <f t="shared" si="10"/>
        <v>6.059574135612646</v>
      </c>
      <c r="P105" s="158">
        <f t="shared" si="10"/>
        <v>39.312162303538877</v>
      </c>
      <c r="Q105" s="158">
        <f t="shared" si="10"/>
        <v>3.740896655257993</v>
      </c>
      <c r="R105" s="158">
        <f t="shared" si="10"/>
        <v>-0.33327456480694201</v>
      </c>
      <c r="S105" s="158">
        <f t="shared" si="10"/>
        <v>-1.8337029705644081E-4</v>
      </c>
      <c r="T105" s="158">
        <f t="shared" si="10"/>
        <v>-17.426399176320253</v>
      </c>
      <c r="U105" s="158">
        <f t="shared" si="10"/>
        <v>0</v>
      </c>
      <c r="V105" s="158">
        <f t="shared" si="10"/>
        <v>-0.14476849959276247</v>
      </c>
      <c r="W105" s="158">
        <f t="shared" si="10"/>
        <v>0</v>
      </c>
      <c r="X105" s="158">
        <f t="shared" si="10"/>
        <v>-69.011205395519781</v>
      </c>
      <c r="Y105" s="158">
        <f t="shared" si="10"/>
        <v>0</v>
      </c>
      <c r="AQ105" s="3"/>
    </row>
    <row r="106" spans="5:43" x14ac:dyDescent="0.25">
      <c r="E106" s="32"/>
      <c r="F106" t="s">
        <v>192</v>
      </c>
      <c r="G106" t="s">
        <v>172</v>
      </c>
      <c r="J106" s="89">
        <f t="shared" ref="J106:Y106" si="11">J$57 * J35 * J94 / hours_in_year / $H46</f>
        <v>0</v>
      </c>
      <c r="K106" s="89">
        <f t="shared" si="11"/>
        <v>0</v>
      </c>
      <c r="L106" s="89">
        <f t="shared" si="11"/>
        <v>0</v>
      </c>
      <c r="M106" s="89">
        <f t="shared" si="11"/>
        <v>0</v>
      </c>
      <c r="N106" s="89">
        <f t="shared" si="11"/>
        <v>0</v>
      </c>
      <c r="O106" s="89">
        <f t="shared" si="11"/>
        <v>0</v>
      </c>
      <c r="P106" s="89">
        <f t="shared" si="11"/>
        <v>0</v>
      </c>
      <c r="Q106" s="89">
        <f t="shared" si="11"/>
        <v>0</v>
      </c>
      <c r="R106" s="89">
        <f t="shared" si="11"/>
        <v>0</v>
      </c>
      <c r="S106" s="89">
        <f t="shared" si="11"/>
        <v>0</v>
      </c>
      <c r="T106" s="89">
        <f t="shared" si="11"/>
        <v>0</v>
      </c>
      <c r="U106" s="89">
        <f t="shared" si="11"/>
        <v>0</v>
      </c>
      <c r="V106" s="89">
        <f t="shared" si="11"/>
        <v>0</v>
      </c>
      <c r="W106" s="89">
        <f t="shared" si="11"/>
        <v>0</v>
      </c>
      <c r="X106" s="89">
        <f t="shared" si="11"/>
        <v>0</v>
      </c>
      <c r="Y106" s="89">
        <f t="shared" si="11"/>
        <v>0</v>
      </c>
      <c r="AQ106" s="3"/>
    </row>
    <row r="107" spans="5:43" x14ac:dyDescent="0.25">
      <c r="E107" s="32"/>
      <c r="F107" t="s">
        <v>193</v>
      </c>
      <c r="G107" t="s">
        <v>172</v>
      </c>
      <c r="J107" s="89">
        <f t="shared" ref="J107:Y107" si="12">J$57 * J36 * J95 / hours_in_year / $H47</f>
        <v>0</v>
      </c>
      <c r="K107" s="89">
        <f t="shared" si="12"/>
        <v>0</v>
      </c>
      <c r="L107" s="89">
        <f t="shared" si="12"/>
        <v>0</v>
      </c>
      <c r="M107" s="89">
        <f t="shared" si="12"/>
        <v>0</v>
      </c>
      <c r="N107" s="89">
        <f t="shared" si="12"/>
        <v>0</v>
      </c>
      <c r="O107" s="89">
        <f t="shared" si="12"/>
        <v>0</v>
      </c>
      <c r="P107" s="89">
        <f t="shared" si="12"/>
        <v>0</v>
      </c>
      <c r="Q107" s="89">
        <f t="shared" si="12"/>
        <v>0</v>
      </c>
      <c r="R107" s="89">
        <f t="shared" si="12"/>
        <v>0</v>
      </c>
      <c r="S107" s="89">
        <f t="shared" si="12"/>
        <v>0</v>
      </c>
      <c r="T107" s="89">
        <f t="shared" si="12"/>
        <v>0</v>
      </c>
      <c r="U107" s="89">
        <f t="shared" si="12"/>
        <v>0</v>
      </c>
      <c r="V107" s="89">
        <f t="shared" si="12"/>
        <v>0</v>
      </c>
      <c r="W107" s="89">
        <f t="shared" si="12"/>
        <v>0</v>
      </c>
      <c r="X107" s="89">
        <f t="shared" si="12"/>
        <v>0</v>
      </c>
      <c r="Y107" s="89">
        <f t="shared" si="12"/>
        <v>0</v>
      </c>
      <c r="AQ107" s="3"/>
    </row>
    <row r="108" spans="5:43" x14ac:dyDescent="0.25">
      <c r="E108" s="32"/>
      <c r="F108" t="s">
        <v>194</v>
      </c>
      <c r="G108" t="s">
        <v>172</v>
      </c>
      <c r="J108" s="89">
        <f t="shared" ref="J108:Y108" si="13">J$57 * J37 * J96 / hours_in_year / $H48</f>
        <v>173.67522358459368</v>
      </c>
      <c r="K108" s="89">
        <f t="shared" si="13"/>
        <v>21.443820892642727</v>
      </c>
      <c r="L108" s="89">
        <f t="shared" si="13"/>
        <v>80.923662941094321</v>
      </c>
      <c r="M108" s="89">
        <f t="shared" si="13"/>
        <v>2.130064398754421</v>
      </c>
      <c r="N108" s="89">
        <f t="shared" si="13"/>
        <v>98.033333466005786</v>
      </c>
      <c r="O108" s="89">
        <f t="shared" si="13"/>
        <v>6.3380878233949725</v>
      </c>
      <c r="P108" s="89">
        <f t="shared" si="13"/>
        <v>41.119050882310106</v>
      </c>
      <c r="Q108" s="89">
        <f t="shared" si="13"/>
        <v>4.118229426457126</v>
      </c>
      <c r="R108" s="89">
        <f t="shared" si="13"/>
        <v>-0.34859272512829387</v>
      </c>
      <c r="S108" s="89">
        <f t="shared" si="13"/>
        <v>-1.9179846981577395E-4</v>
      </c>
      <c r="T108" s="89">
        <f t="shared" si="13"/>
        <v>-18.227361519670335</v>
      </c>
      <c r="U108" s="89">
        <f t="shared" si="13"/>
        <v>0</v>
      </c>
      <c r="V108" s="89">
        <f t="shared" si="13"/>
        <v>-0.15142243397724839</v>
      </c>
      <c r="W108" s="89">
        <f t="shared" si="13"/>
        <v>0</v>
      </c>
      <c r="X108" s="89">
        <f t="shared" si="13"/>
        <v>-72.183138749721834</v>
      </c>
      <c r="Y108" s="89">
        <f t="shared" si="13"/>
        <v>0</v>
      </c>
      <c r="AQ108" s="3"/>
    </row>
    <row r="109" spans="5:43" x14ac:dyDescent="0.25">
      <c r="E109" s="32"/>
      <c r="F109" t="s">
        <v>195</v>
      </c>
      <c r="G109" t="s">
        <v>172</v>
      </c>
      <c r="J109" s="89">
        <f t="shared" ref="J109:Y109" si="14">J$57 * J38 * J97 / hours_in_year / $H49</f>
        <v>171.64393441986158</v>
      </c>
      <c r="K109" s="89">
        <f t="shared" si="14"/>
        <v>21.193015969921756</v>
      </c>
      <c r="L109" s="89">
        <f t="shared" si="14"/>
        <v>79.977187351140003</v>
      </c>
      <c r="M109" s="89">
        <f t="shared" si="14"/>
        <v>2.1051513648508604</v>
      </c>
      <c r="N109" s="89">
        <f t="shared" si="14"/>
        <v>96.886744770496946</v>
      </c>
      <c r="O109" s="89">
        <f t="shared" si="14"/>
        <v>6.2639581412500025</v>
      </c>
      <c r="P109" s="89">
        <f t="shared" si="14"/>
        <v>40.638126310587182</v>
      </c>
      <c r="Q109" s="89">
        <f t="shared" si="14"/>
        <v>4.0700630004166918</v>
      </c>
      <c r="R109" s="89">
        <f t="shared" si="14"/>
        <v>-0.34451561723205654</v>
      </c>
      <c r="S109" s="89">
        <f t="shared" si="14"/>
        <v>-1.8955521285886429E-4</v>
      </c>
      <c r="T109" s="89">
        <f t="shared" si="14"/>
        <v>-18.014176004820388</v>
      </c>
      <c r="U109" s="89">
        <f t="shared" si="14"/>
        <v>0</v>
      </c>
      <c r="V109" s="89">
        <f t="shared" si="14"/>
        <v>-0.14965141135763146</v>
      </c>
      <c r="W109" s="89">
        <f t="shared" si="14"/>
        <v>0</v>
      </c>
      <c r="X109" s="89">
        <f t="shared" si="14"/>
        <v>-71.338891512882981</v>
      </c>
      <c r="Y109" s="89">
        <f t="shared" si="14"/>
        <v>0</v>
      </c>
      <c r="AQ109" s="3"/>
    </row>
    <row r="110" spans="5:43" x14ac:dyDescent="0.25">
      <c r="E110" s="32"/>
      <c r="F110" t="s">
        <v>196</v>
      </c>
      <c r="G110" t="s">
        <v>172</v>
      </c>
      <c r="J110" s="89">
        <f t="shared" ref="J110:Y110" si="15">J$57 * J39 * J98 / hours_in_year / $H50</f>
        <v>0</v>
      </c>
      <c r="K110" s="89">
        <f t="shared" si="15"/>
        <v>0</v>
      </c>
      <c r="L110" s="89">
        <f t="shared" si="15"/>
        <v>0</v>
      </c>
      <c r="M110" s="89">
        <f t="shared" si="15"/>
        <v>0</v>
      </c>
      <c r="N110" s="89">
        <f t="shared" si="15"/>
        <v>0</v>
      </c>
      <c r="O110" s="89">
        <f t="shared" si="15"/>
        <v>0</v>
      </c>
      <c r="P110" s="89">
        <f t="shared" si="15"/>
        <v>0</v>
      </c>
      <c r="Q110" s="89">
        <f t="shared" si="15"/>
        <v>0</v>
      </c>
      <c r="R110" s="89">
        <f t="shared" si="15"/>
        <v>0</v>
      </c>
      <c r="S110" s="89">
        <f t="shared" si="15"/>
        <v>0</v>
      </c>
      <c r="T110" s="89">
        <f t="shared" si="15"/>
        <v>0</v>
      </c>
      <c r="U110" s="89">
        <f t="shared" si="15"/>
        <v>0</v>
      </c>
      <c r="V110" s="89">
        <f t="shared" si="15"/>
        <v>0</v>
      </c>
      <c r="W110" s="89">
        <f t="shared" si="15"/>
        <v>0</v>
      </c>
      <c r="X110" s="89">
        <f t="shared" si="15"/>
        <v>0</v>
      </c>
      <c r="Y110" s="89">
        <f t="shared" si="15"/>
        <v>0</v>
      </c>
      <c r="AQ110" s="3"/>
    </row>
    <row r="111" spans="5:43" x14ac:dyDescent="0.25">
      <c r="E111" s="32"/>
      <c r="F111" t="s">
        <v>197</v>
      </c>
      <c r="G111" t="s">
        <v>172</v>
      </c>
      <c r="J111" s="89">
        <f t="shared" ref="J111:Y111" si="16">J$57 * J40 * J99 / hours_in_year / $H51</f>
        <v>169.98713968607913</v>
      </c>
      <c r="K111" s="89">
        <f t="shared" si="16"/>
        <v>20.988450178706298</v>
      </c>
      <c r="L111" s="89">
        <f t="shared" si="16"/>
        <v>79.205206778252546</v>
      </c>
      <c r="M111" s="89">
        <f t="shared" si="16"/>
        <v>2.0848313709816435</v>
      </c>
      <c r="N111" s="89">
        <f t="shared" si="16"/>
        <v>95.951544531399492</v>
      </c>
      <c r="O111" s="89">
        <f t="shared" si="16"/>
        <v>6.2034952248286697</v>
      </c>
      <c r="P111" s="89">
        <f t="shared" si="16"/>
        <v>40.245866404114331</v>
      </c>
      <c r="Q111" s="89">
        <f t="shared" si="16"/>
        <v>4.0307766780188476</v>
      </c>
      <c r="R111" s="89">
        <f t="shared" si="16"/>
        <v>-0.34119017691128378</v>
      </c>
      <c r="S111" s="89">
        <f t="shared" si="16"/>
        <v>-1.8772552933706059E-4</v>
      </c>
      <c r="T111" s="89">
        <f t="shared" si="16"/>
        <v>-17.840293997051852</v>
      </c>
      <c r="U111" s="89">
        <f t="shared" si="16"/>
        <v>0</v>
      </c>
      <c r="V111" s="89">
        <f t="shared" si="16"/>
        <v>-0.14820689966499023</v>
      </c>
      <c r="W111" s="89">
        <f t="shared" si="16"/>
        <v>0</v>
      </c>
      <c r="X111" s="89">
        <f t="shared" si="16"/>
        <v>0</v>
      </c>
      <c r="Y111" s="89">
        <f t="shared" si="16"/>
        <v>0</v>
      </c>
      <c r="AQ111" s="3"/>
    </row>
    <row r="112" spans="5:43" x14ac:dyDescent="0.25">
      <c r="E112" s="32"/>
      <c r="F112" t="s">
        <v>198</v>
      </c>
      <c r="G112" t="s">
        <v>172</v>
      </c>
      <c r="J112" s="89">
        <f t="shared" ref="J112:Y112" si="17">J$57 * J41 * J100 / hours_in_year / $H52</f>
        <v>166.29525657674975</v>
      </c>
      <c r="K112" s="89">
        <f t="shared" si="17"/>
        <v>20.53261037312533</v>
      </c>
      <c r="L112" s="89">
        <f t="shared" si="17"/>
        <v>77.484980379858015</v>
      </c>
      <c r="M112" s="89">
        <f t="shared" si="17"/>
        <v>2.0395517472492757</v>
      </c>
      <c r="N112" s="89">
        <f t="shared" si="17"/>
        <v>93.86761108076476</v>
      </c>
      <c r="O112" s="89">
        <f t="shared" si="17"/>
        <v>6.0687639782082181</v>
      </c>
      <c r="P112" s="89">
        <f t="shared" si="17"/>
        <v>0</v>
      </c>
      <c r="Q112" s="89">
        <f t="shared" si="17"/>
        <v>3.9432338417634809</v>
      </c>
      <c r="R112" s="89">
        <f t="shared" si="17"/>
        <v>-0.33378000309734657</v>
      </c>
      <c r="S112" s="89">
        <f t="shared" si="17"/>
        <v>0</v>
      </c>
      <c r="T112" s="89">
        <f t="shared" si="17"/>
        <v>-17.452827744046953</v>
      </c>
      <c r="U112" s="89">
        <f t="shared" si="17"/>
        <v>0</v>
      </c>
      <c r="V112" s="89">
        <f t="shared" si="17"/>
        <v>0</v>
      </c>
      <c r="W112" s="89">
        <f t="shared" si="17"/>
        <v>0</v>
      </c>
      <c r="X112" s="89">
        <f t="shared" si="17"/>
        <v>0</v>
      </c>
      <c r="Y112" s="89">
        <f t="shared" si="17"/>
        <v>0</v>
      </c>
      <c r="AQ112" s="3"/>
    </row>
    <row r="113" spans="5:43" x14ac:dyDescent="0.25">
      <c r="E113" s="32"/>
      <c r="F113" s="37" t="s">
        <v>199</v>
      </c>
      <c r="G113" s="37" t="s">
        <v>172</v>
      </c>
      <c r="H113" s="37"/>
      <c r="I113" s="37"/>
      <c r="J113" s="82">
        <f t="shared" ref="J113:Y113" si="18">J$57 * J42 * J101 / hours_in_year / $H53</f>
        <v>161.12230257527722</v>
      </c>
      <c r="K113" s="82">
        <f t="shared" si="18"/>
        <v>19.893901541756382</v>
      </c>
      <c r="L113" s="82">
        <f t="shared" si="18"/>
        <v>75.074651621472682</v>
      </c>
      <c r="M113" s="82">
        <f t="shared" si="18"/>
        <v>1.9761073196129761</v>
      </c>
      <c r="N113" s="82">
        <f t="shared" si="18"/>
        <v>90.947667094720828</v>
      </c>
      <c r="O113" s="82">
        <f t="shared" si="18"/>
        <v>0</v>
      </c>
      <c r="P113" s="82">
        <f t="shared" si="18"/>
        <v>0</v>
      </c>
      <c r="Q113" s="82">
        <f t="shared" si="18"/>
        <v>3.8205714898696486</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25">
      <c r="E114" s="32"/>
      <c r="J114" s="89"/>
      <c r="K114" s="89"/>
      <c r="L114" s="89"/>
      <c r="M114" s="89"/>
      <c r="N114" s="89"/>
      <c r="O114" s="89"/>
      <c r="P114" s="89"/>
      <c r="Q114" s="89"/>
      <c r="R114" s="89"/>
      <c r="S114" s="89"/>
      <c r="T114" s="89"/>
      <c r="U114" s="89"/>
      <c r="V114" s="89"/>
      <c r="W114" s="89"/>
      <c r="X114" s="89"/>
      <c r="Y114" s="89"/>
      <c r="AQ114" s="3"/>
    </row>
    <row r="115" spans="5:43" x14ac:dyDescent="0.25">
      <c r="E115" s="32" t="s">
        <v>513</v>
      </c>
      <c r="J115" s="89"/>
      <c r="K115" s="89"/>
      <c r="L115" s="89"/>
      <c r="M115" s="89"/>
      <c r="N115" s="89"/>
      <c r="O115" s="89"/>
      <c r="P115" s="89"/>
      <c r="Q115" s="89"/>
      <c r="R115" s="89"/>
      <c r="S115" s="89"/>
      <c r="T115" s="89"/>
      <c r="U115" s="89"/>
      <c r="V115" s="89"/>
      <c r="W115" s="89"/>
      <c r="X115" s="89"/>
      <c r="Y115" s="89"/>
      <c r="AQ115" s="3"/>
    </row>
    <row r="116" spans="5:43" x14ac:dyDescent="0.25">
      <c r="E116" s="32"/>
      <c r="F116" s="23" t="s">
        <v>191</v>
      </c>
      <c r="G116" s="23" t="s">
        <v>283</v>
      </c>
      <c r="H116" s="23"/>
      <c r="I116" s="23"/>
      <c r="J116" s="124">
        <f>'Pseudo-load coefficients'!J294</f>
        <v>0.45744679299217433</v>
      </c>
      <c r="K116" s="124">
        <f>'Pseudo-load coefficients'!K294</f>
        <v>0.45744679299217433</v>
      </c>
      <c r="L116" s="124">
        <f>'Pseudo-load coefficients'!L294</f>
        <v>0.47770915697620447</v>
      </c>
      <c r="M116" s="124">
        <f>'Pseudo-load coefficients'!M294</f>
        <v>0.47770915697620447</v>
      </c>
      <c r="N116" s="124">
        <f>'Pseudo-load coefficients'!N294</f>
        <v>0.42618835227171104</v>
      </c>
      <c r="O116" s="124">
        <f>'Pseudo-load coefficients'!O294</f>
        <v>0.3627618116911801</v>
      </c>
      <c r="P116" s="124">
        <f>'Pseudo-load coefficients'!P294</f>
        <v>0.37138679641726391</v>
      </c>
      <c r="Q116" s="124">
        <f>'Pseudo-load coefficients'!Q294</f>
        <v>0.3622694357472927</v>
      </c>
      <c r="R116" s="124">
        <f>'Pseudo-load coefficients'!R294</f>
        <v>0.32793635938231164</v>
      </c>
      <c r="S116" s="124">
        <f>'Pseudo-load coefficients'!S294</f>
        <v>0.32793635938231164</v>
      </c>
      <c r="T116" s="124">
        <f>'Pseudo-load coefficients'!T294</f>
        <v>0.32793635938231164</v>
      </c>
      <c r="U116" s="124">
        <f>'Pseudo-load coefficients'!U294</f>
        <v>0.32793635938231164</v>
      </c>
      <c r="V116" s="124">
        <f>'Pseudo-load coefficients'!V294</f>
        <v>0.32793635938231164</v>
      </c>
      <c r="W116" s="124">
        <f>'Pseudo-load coefficients'!W294</f>
        <v>0.32793635938231164</v>
      </c>
      <c r="X116" s="124">
        <f>'Pseudo-load coefficients'!X294</f>
        <v>0.32793635938231164</v>
      </c>
      <c r="Y116" s="124">
        <f>'Pseudo-load coefficients'!Y294</f>
        <v>0.32793635938231164</v>
      </c>
      <c r="AQ116" s="3"/>
    </row>
    <row r="117" spans="5:43" x14ac:dyDescent="0.25">
      <c r="E117" s="32"/>
      <c r="F117" t="s">
        <v>192</v>
      </c>
      <c r="G117" t="s">
        <v>283</v>
      </c>
      <c r="J117" s="120">
        <f>'Pseudo-load coefficients'!J295</f>
        <v>0</v>
      </c>
      <c r="K117" s="120">
        <f>'Pseudo-load coefficients'!K295</f>
        <v>0</v>
      </c>
      <c r="L117" s="120">
        <f>'Pseudo-load coefficients'!L295</f>
        <v>0</v>
      </c>
      <c r="M117" s="120">
        <f>'Pseudo-load coefficients'!M295</f>
        <v>0</v>
      </c>
      <c r="N117" s="120">
        <f>'Pseudo-load coefficients'!N295</f>
        <v>0</v>
      </c>
      <c r="O117" s="120">
        <f>'Pseudo-load coefficients'!O295</f>
        <v>0</v>
      </c>
      <c r="P117" s="120">
        <f>'Pseudo-load coefficients'!P295</f>
        <v>0</v>
      </c>
      <c r="Q117" s="120">
        <f>'Pseudo-load coefficients'!Q295</f>
        <v>0</v>
      </c>
      <c r="R117" s="120">
        <f>'Pseudo-load coefficients'!R295</f>
        <v>0</v>
      </c>
      <c r="S117" s="120">
        <f>'Pseudo-load coefficients'!S295</f>
        <v>0</v>
      </c>
      <c r="T117" s="120">
        <f>'Pseudo-load coefficients'!T295</f>
        <v>0</v>
      </c>
      <c r="U117" s="120">
        <f>'Pseudo-load coefficients'!U295</f>
        <v>0</v>
      </c>
      <c r="V117" s="120">
        <f>'Pseudo-load coefficients'!V295</f>
        <v>0</v>
      </c>
      <c r="W117" s="120">
        <f>'Pseudo-load coefficients'!W295</f>
        <v>0</v>
      </c>
      <c r="X117" s="120">
        <f>'Pseudo-load coefficients'!X295</f>
        <v>0</v>
      </c>
      <c r="Y117" s="120">
        <f>'Pseudo-load coefficients'!Y295</f>
        <v>0</v>
      </c>
      <c r="AQ117" s="3"/>
    </row>
    <row r="118" spans="5:43" x14ac:dyDescent="0.25">
      <c r="E118" s="32"/>
      <c r="F118" t="s">
        <v>193</v>
      </c>
      <c r="G118" t="s">
        <v>283</v>
      </c>
      <c r="J118" s="120">
        <f>'Pseudo-load coefficients'!J296</f>
        <v>0</v>
      </c>
      <c r="K118" s="120">
        <f>'Pseudo-load coefficients'!K296</f>
        <v>0</v>
      </c>
      <c r="L118" s="120">
        <f>'Pseudo-load coefficients'!L296</f>
        <v>0</v>
      </c>
      <c r="M118" s="120">
        <f>'Pseudo-load coefficients'!M296</f>
        <v>0</v>
      </c>
      <c r="N118" s="120">
        <f>'Pseudo-load coefficients'!N296</f>
        <v>0</v>
      </c>
      <c r="O118" s="120">
        <f>'Pseudo-load coefficients'!O296</f>
        <v>0</v>
      </c>
      <c r="P118" s="120">
        <f>'Pseudo-load coefficients'!P296</f>
        <v>0</v>
      </c>
      <c r="Q118" s="120">
        <f>'Pseudo-load coefficients'!Q296</f>
        <v>0</v>
      </c>
      <c r="R118" s="120">
        <f>'Pseudo-load coefficients'!R296</f>
        <v>0</v>
      </c>
      <c r="S118" s="120">
        <f>'Pseudo-load coefficients'!S296</f>
        <v>0</v>
      </c>
      <c r="T118" s="120">
        <f>'Pseudo-load coefficients'!T296</f>
        <v>0</v>
      </c>
      <c r="U118" s="120">
        <f>'Pseudo-load coefficients'!U296</f>
        <v>0</v>
      </c>
      <c r="V118" s="120">
        <f>'Pseudo-load coefficients'!V296</f>
        <v>0</v>
      </c>
      <c r="W118" s="120">
        <f>'Pseudo-load coefficients'!W296</f>
        <v>0</v>
      </c>
      <c r="X118" s="120">
        <f>'Pseudo-load coefficients'!X296</f>
        <v>0</v>
      </c>
      <c r="Y118" s="120">
        <f>'Pseudo-load coefficients'!Y296</f>
        <v>0</v>
      </c>
      <c r="AQ118" s="3"/>
    </row>
    <row r="119" spans="5:43" x14ac:dyDescent="0.25">
      <c r="E119" s="32"/>
      <c r="F119" t="s">
        <v>194</v>
      </c>
      <c r="G119" t="s">
        <v>283</v>
      </c>
      <c r="J119" s="120">
        <f>'Pseudo-load coefficients'!J297</f>
        <v>0.54321806667820716</v>
      </c>
      <c r="K119" s="120">
        <f>'Pseudo-load coefficients'!K297</f>
        <v>0.54321806667820716</v>
      </c>
      <c r="L119" s="120">
        <f>'Pseudo-load coefficients'!L297</f>
        <v>0.56727962390924291</v>
      </c>
      <c r="M119" s="120">
        <f>'Pseudo-load coefficients'!M297</f>
        <v>0.56727962390924291</v>
      </c>
      <c r="N119" s="120">
        <f>'Pseudo-load coefficients'!N297</f>
        <v>0.50609866832265693</v>
      </c>
      <c r="O119" s="120">
        <f>'Pseudo-load coefficients'!O297</f>
        <v>0.4307796513832764</v>
      </c>
      <c r="P119" s="120">
        <f>'Pseudo-load coefficients'!P297</f>
        <v>0.441021820745501</v>
      </c>
      <c r="Q119" s="120">
        <f>'Pseudo-load coefficients'!Q297</f>
        <v>0.43019495494991017</v>
      </c>
      <c r="R119" s="120">
        <f>'Pseudo-load coefficients'!R297</f>
        <v>0.38942442676649514</v>
      </c>
      <c r="S119" s="120">
        <f>'Pseudo-load coefficients'!S297</f>
        <v>0.38942442676649514</v>
      </c>
      <c r="T119" s="120">
        <f>'Pseudo-load coefficients'!T297</f>
        <v>0.38942442676649514</v>
      </c>
      <c r="U119" s="120">
        <f>'Pseudo-load coefficients'!U297</f>
        <v>0.38942442676649514</v>
      </c>
      <c r="V119" s="120">
        <f>'Pseudo-load coefficients'!V297</f>
        <v>0.38942442676649514</v>
      </c>
      <c r="W119" s="120">
        <f>'Pseudo-load coefficients'!W297</f>
        <v>0.38942442676649514</v>
      </c>
      <c r="X119" s="120">
        <f>'Pseudo-load coefficients'!X297</f>
        <v>0.38942442676649514</v>
      </c>
      <c r="Y119" s="120">
        <f>'Pseudo-load coefficients'!Y297</f>
        <v>0.38942442676649514</v>
      </c>
      <c r="AQ119" s="3"/>
    </row>
    <row r="120" spans="5:43" x14ac:dyDescent="0.25">
      <c r="E120" s="32"/>
      <c r="F120" t="s">
        <v>195</v>
      </c>
      <c r="G120" t="s">
        <v>283</v>
      </c>
      <c r="J120" s="120">
        <f>'Pseudo-load coefficients'!J298</f>
        <v>0.54321806667820716</v>
      </c>
      <c r="K120" s="120">
        <f>'Pseudo-load coefficients'!K298</f>
        <v>0.54321806667820716</v>
      </c>
      <c r="L120" s="120">
        <f>'Pseudo-load coefficients'!L298</f>
        <v>0.56727962390924291</v>
      </c>
      <c r="M120" s="120">
        <f>'Pseudo-load coefficients'!M298</f>
        <v>0.56727962390924291</v>
      </c>
      <c r="N120" s="120">
        <f>'Pseudo-load coefficients'!N298</f>
        <v>0.50609866832265693</v>
      </c>
      <c r="O120" s="120">
        <f>'Pseudo-load coefficients'!O298</f>
        <v>0.4307796513832764</v>
      </c>
      <c r="P120" s="120">
        <f>'Pseudo-load coefficients'!P298</f>
        <v>0.441021820745501</v>
      </c>
      <c r="Q120" s="120">
        <f>'Pseudo-load coefficients'!Q298</f>
        <v>0.43019495494991017</v>
      </c>
      <c r="R120" s="120">
        <f>'Pseudo-load coefficients'!R298</f>
        <v>0.38942442676649514</v>
      </c>
      <c r="S120" s="120">
        <f>'Pseudo-load coefficients'!S298</f>
        <v>0.38942442676649514</v>
      </c>
      <c r="T120" s="120">
        <f>'Pseudo-load coefficients'!T298</f>
        <v>0.38942442676649514</v>
      </c>
      <c r="U120" s="120">
        <f>'Pseudo-load coefficients'!U298</f>
        <v>0.38942442676649514</v>
      </c>
      <c r="V120" s="120">
        <f>'Pseudo-load coefficients'!V298</f>
        <v>0.38942442676649514</v>
      </c>
      <c r="W120" s="120">
        <f>'Pseudo-load coefficients'!W298</f>
        <v>0.38942442676649514</v>
      </c>
      <c r="X120" s="120">
        <f>'Pseudo-load coefficients'!X298</f>
        <v>0.38942442676649514</v>
      </c>
      <c r="Y120" s="120">
        <f>'Pseudo-load coefficients'!Y298</f>
        <v>0.38942442676649514</v>
      </c>
      <c r="AQ120" s="3"/>
    </row>
    <row r="121" spans="5:43" x14ac:dyDescent="0.25">
      <c r="E121" s="32"/>
      <c r="F121" t="s">
        <v>196</v>
      </c>
      <c r="G121" t="s">
        <v>283</v>
      </c>
      <c r="J121" s="120">
        <f>'Pseudo-load coefficients'!J299</f>
        <v>0</v>
      </c>
      <c r="K121" s="120">
        <f>'Pseudo-load coefficients'!K299</f>
        <v>0</v>
      </c>
      <c r="L121" s="120">
        <f>'Pseudo-load coefficients'!L299</f>
        <v>0</v>
      </c>
      <c r="M121" s="120">
        <f>'Pseudo-load coefficients'!M299</f>
        <v>0</v>
      </c>
      <c r="N121" s="120">
        <f>'Pseudo-load coefficients'!N299</f>
        <v>0</v>
      </c>
      <c r="O121" s="120">
        <f>'Pseudo-load coefficients'!O299</f>
        <v>0</v>
      </c>
      <c r="P121" s="120">
        <f>'Pseudo-load coefficients'!P299</f>
        <v>0</v>
      </c>
      <c r="Q121" s="120">
        <f>'Pseudo-load coefficients'!Q299</f>
        <v>0</v>
      </c>
      <c r="R121" s="120">
        <f>'Pseudo-load coefficients'!R299</f>
        <v>0</v>
      </c>
      <c r="S121" s="120">
        <f>'Pseudo-load coefficients'!S299</f>
        <v>0</v>
      </c>
      <c r="T121" s="120">
        <f>'Pseudo-load coefficients'!T299</f>
        <v>0</v>
      </c>
      <c r="U121" s="120">
        <f>'Pseudo-load coefficients'!U299</f>
        <v>0</v>
      </c>
      <c r="V121" s="120">
        <f>'Pseudo-load coefficients'!V299</f>
        <v>0</v>
      </c>
      <c r="W121" s="120">
        <f>'Pseudo-load coefficients'!W299</f>
        <v>0</v>
      </c>
      <c r="X121" s="120">
        <f>'Pseudo-load coefficients'!X299</f>
        <v>0</v>
      </c>
      <c r="Y121" s="120">
        <f>'Pseudo-load coefficients'!Y299</f>
        <v>0</v>
      </c>
      <c r="AQ121" s="3"/>
    </row>
    <row r="122" spans="5:43" x14ac:dyDescent="0.25">
      <c r="E122" s="32"/>
      <c r="F122" t="s">
        <v>197</v>
      </c>
      <c r="G122" t="s">
        <v>283</v>
      </c>
      <c r="J122" s="120">
        <f>'Pseudo-load coefficients'!J300</f>
        <v>0.54321806667820716</v>
      </c>
      <c r="K122" s="120">
        <f>'Pseudo-load coefficients'!K300</f>
        <v>0.54321806667820716</v>
      </c>
      <c r="L122" s="120">
        <f>'Pseudo-load coefficients'!L300</f>
        <v>0.56727962390924291</v>
      </c>
      <c r="M122" s="120">
        <f>'Pseudo-load coefficients'!M300</f>
        <v>0.56727962390924291</v>
      </c>
      <c r="N122" s="120">
        <f>'Pseudo-load coefficients'!N300</f>
        <v>0.50609866832265693</v>
      </c>
      <c r="O122" s="120">
        <f>'Pseudo-load coefficients'!O300</f>
        <v>0.4307796513832764</v>
      </c>
      <c r="P122" s="120">
        <f>'Pseudo-load coefficients'!P300</f>
        <v>0.441021820745501</v>
      </c>
      <c r="Q122" s="120">
        <f>'Pseudo-load coefficients'!Q300</f>
        <v>0.43019495494991017</v>
      </c>
      <c r="R122" s="120">
        <f>'Pseudo-load coefficients'!R300</f>
        <v>0.38942442676649514</v>
      </c>
      <c r="S122" s="120">
        <f>'Pseudo-load coefficients'!S300</f>
        <v>0.38942442676649514</v>
      </c>
      <c r="T122" s="120">
        <f>'Pseudo-load coefficients'!T300</f>
        <v>0.38942442676649514</v>
      </c>
      <c r="U122" s="120">
        <f>'Pseudo-load coefficients'!U300</f>
        <v>0.38942442676649514</v>
      </c>
      <c r="V122" s="120">
        <f>'Pseudo-load coefficients'!V300</f>
        <v>0.38942442676649514</v>
      </c>
      <c r="W122" s="120">
        <f>'Pseudo-load coefficients'!W300</f>
        <v>0.38942442676649514</v>
      </c>
      <c r="X122" s="120">
        <f>'Pseudo-load coefficients'!X300</f>
        <v>0.38942442676649514</v>
      </c>
      <c r="Y122" s="120">
        <f>'Pseudo-load coefficients'!Y300</f>
        <v>0.38942442676649514</v>
      </c>
      <c r="AQ122" s="3"/>
    </row>
    <row r="123" spans="5:43" x14ac:dyDescent="0.25">
      <c r="E123" s="32"/>
      <c r="F123" t="s">
        <v>198</v>
      </c>
      <c r="G123" t="s">
        <v>283</v>
      </c>
      <c r="J123" s="120">
        <f>'Pseudo-load coefficients'!J301</f>
        <v>0.54321806667820716</v>
      </c>
      <c r="K123" s="120">
        <f>'Pseudo-load coefficients'!K301</f>
        <v>0.54321806667820716</v>
      </c>
      <c r="L123" s="120">
        <f>'Pseudo-load coefficients'!L301</f>
        <v>0.56727962390924291</v>
      </c>
      <c r="M123" s="120">
        <f>'Pseudo-load coefficients'!M301</f>
        <v>0.56727962390924291</v>
      </c>
      <c r="N123" s="120">
        <f>'Pseudo-load coefficients'!N301</f>
        <v>0.50609866832265693</v>
      </c>
      <c r="O123" s="120">
        <f>'Pseudo-load coefficients'!O301</f>
        <v>0.4307796513832764</v>
      </c>
      <c r="P123" s="120">
        <f>'Pseudo-load coefficients'!P301</f>
        <v>0.441021820745501</v>
      </c>
      <c r="Q123" s="120">
        <f>'Pseudo-load coefficients'!Q301</f>
        <v>0.43019495494991017</v>
      </c>
      <c r="R123" s="120">
        <f>'Pseudo-load coefficients'!R301</f>
        <v>0.38942442676649514</v>
      </c>
      <c r="S123" s="120">
        <f>'Pseudo-load coefficients'!S301</f>
        <v>0.38942442676649514</v>
      </c>
      <c r="T123" s="120">
        <f>'Pseudo-load coefficients'!T301</f>
        <v>0.38942442676649514</v>
      </c>
      <c r="U123" s="120">
        <f>'Pseudo-load coefficients'!U301</f>
        <v>0.38942442676649514</v>
      </c>
      <c r="V123" s="120">
        <f>'Pseudo-load coefficients'!V301</f>
        <v>0.38942442676649514</v>
      </c>
      <c r="W123" s="120">
        <f>'Pseudo-load coefficients'!W301</f>
        <v>0.38942442676649514</v>
      </c>
      <c r="X123" s="120">
        <f>'Pseudo-load coefficients'!X301</f>
        <v>0.38942442676649514</v>
      </c>
      <c r="Y123" s="120">
        <f>'Pseudo-load coefficients'!Y301</f>
        <v>0.38942442676649514</v>
      </c>
      <c r="AQ123" s="3"/>
    </row>
    <row r="124" spans="5:43" x14ac:dyDescent="0.25">
      <c r="E124" s="32"/>
      <c r="F124" s="37" t="s">
        <v>199</v>
      </c>
      <c r="G124" s="37" t="s">
        <v>283</v>
      </c>
      <c r="H124" s="37"/>
      <c r="I124" s="37"/>
      <c r="J124" s="125">
        <f>'Pseudo-load coefficients'!J302</f>
        <v>0.54321806667820716</v>
      </c>
      <c r="K124" s="125">
        <f>'Pseudo-load coefficients'!K302</f>
        <v>0.54321806667820716</v>
      </c>
      <c r="L124" s="125">
        <f>'Pseudo-load coefficients'!L302</f>
        <v>0.56727962390924291</v>
      </c>
      <c r="M124" s="125">
        <f>'Pseudo-load coefficients'!M302</f>
        <v>0.56727962390924291</v>
      </c>
      <c r="N124" s="125">
        <f>'Pseudo-load coefficients'!N302</f>
        <v>0.50609866832265693</v>
      </c>
      <c r="O124" s="125">
        <f>'Pseudo-load coefficients'!O302</f>
        <v>0.4307796513832764</v>
      </c>
      <c r="P124" s="125">
        <f>'Pseudo-load coefficients'!P302</f>
        <v>0.441021820745501</v>
      </c>
      <c r="Q124" s="125">
        <f>'Pseudo-load coefficients'!Q302</f>
        <v>0.43019495494991017</v>
      </c>
      <c r="R124" s="125">
        <f>'Pseudo-load coefficients'!R302</f>
        <v>0.38942442676649514</v>
      </c>
      <c r="S124" s="125">
        <f>'Pseudo-load coefficients'!S302</f>
        <v>0.38942442676649514</v>
      </c>
      <c r="T124" s="125">
        <f>'Pseudo-load coefficients'!T302</f>
        <v>0.38942442676649514</v>
      </c>
      <c r="U124" s="125">
        <f>'Pseudo-load coefficients'!U302</f>
        <v>0.38942442676649514</v>
      </c>
      <c r="V124" s="125">
        <f>'Pseudo-load coefficients'!V302</f>
        <v>0.38942442676649514</v>
      </c>
      <c r="W124" s="125">
        <f>'Pseudo-load coefficients'!W302</f>
        <v>0.38942442676649514</v>
      </c>
      <c r="X124" s="125">
        <f>'Pseudo-load coefficients'!X302</f>
        <v>0.38942442676649514</v>
      </c>
      <c r="Y124" s="125">
        <f>'Pseudo-load coefficients'!Y302</f>
        <v>0.38942442676649514</v>
      </c>
      <c r="AQ124" s="3"/>
    </row>
    <row r="125" spans="5:43" x14ac:dyDescent="0.25">
      <c r="E125" s="32"/>
      <c r="J125" s="89"/>
      <c r="K125" s="89"/>
      <c r="L125" s="89"/>
      <c r="M125" s="89"/>
      <c r="N125" s="89"/>
      <c r="O125" s="89"/>
      <c r="P125" s="89"/>
      <c r="Q125" s="89"/>
      <c r="R125" s="89"/>
      <c r="S125" s="89"/>
      <c r="T125" s="89"/>
      <c r="U125" s="89"/>
      <c r="V125" s="89"/>
      <c r="W125" s="89"/>
      <c r="X125" s="89"/>
      <c r="Y125" s="89"/>
      <c r="AQ125" s="3"/>
    </row>
    <row r="126" spans="5:43" x14ac:dyDescent="0.25">
      <c r="E126" s="32" t="s">
        <v>514</v>
      </c>
      <c r="J126" s="89"/>
      <c r="K126" s="89"/>
      <c r="L126" s="89"/>
      <c r="M126" s="89"/>
      <c r="N126" s="89"/>
      <c r="O126" s="89"/>
      <c r="P126" s="89"/>
      <c r="Q126" s="89"/>
      <c r="R126" s="89"/>
      <c r="S126" s="89"/>
      <c r="T126" s="89"/>
      <c r="U126" s="89"/>
      <c r="V126" s="89"/>
      <c r="W126" s="89"/>
      <c r="X126" s="89"/>
      <c r="Y126" s="89"/>
      <c r="AQ126" s="3"/>
    </row>
    <row r="127" spans="5:43" x14ac:dyDescent="0.25">
      <c r="E127" s="29" t="s">
        <v>515</v>
      </c>
      <c r="J127" s="89"/>
      <c r="K127" s="89"/>
      <c r="L127" s="89"/>
      <c r="M127" s="89"/>
      <c r="N127" s="89"/>
      <c r="O127" s="89"/>
      <c r="P127" s="89"/>
      <c r="Q127" s="89"/>
      <c r="R127" s="89"/>
      <c r="S127" s="89"/>
      <c r="T127" s="89"/>
      <c r="U127" s="89"/>
      <c r="V127" s="89"/>
      <c r="W127" s="89"/>
      <c r="X127" s="89"/>
      <c r="Y127" s="89"/>
      <c r="AQ127" s="3"/>
    </row>
    <row r="128" spans="5:43" x14ac:dyDescent="0.25">
      <c r="E128" s="32"/>
      <c r="F128" s="23" t="s">
        <v>191</v>
      </c>
      <c r="G128" s="23" t="s">
        <v>172</v>
      </c>
      <c r="H128" s="23"/>
      <c r="I128" s="23"/>
      <c r="J128" s="158">
        <f t="shared" ref="J128:Y128" si="19">J$58 * J34 * J116 / hours_in_year / $H45</f>
        <v>61.481445979210093</v>
      </c>
      <c r="K128" s="158">
        <f t="shared" si="19"/>
        <v>12.752549051663244</v>
      </c>
      <c r="L128" s="158">
        <f t="shared" si="19"/>
        <v>21.883681161509781</v>
      </c>
      <c r="M128" s="158">
        <f t="shared" si="19"/>
        <v>1.0358195183199992</v>
      </c>
      <c r="N128" s="158">
        <f t="shared" si="19"/>
        <v>29.534795211801324</v>
      </c>
      <c r="O128" s="158">
        <f t="shared" si="19"/>
        <v>2.3712134452476246</v>
      </c>
      <c r="P128" s="158">
        <f t="shared" si="19"/>
        <v>15.272466841791145</v>
      </c>
      <c r="Q128" s="158">
        <f t="shared" si="19"/>
        <v>2.6506652243648947</v>
      </c>
      <c r="R128" s="158">
        <f t="shared" si="19"/>
        <v>-7.4636195167813113E-2</v>
      </c>
      <c r="S128" s="158">
        <f t="shared" si="19"/>
        <v>-4.535314927468415E-5</v>
      </c>
      <c r="T128" s="158">
        <f t="shared" si="19"/>
        <v>-7.9775613567179517</v>
      </c>
      <c r="U128" s="158">
        <f t="shared" si="19"/>
        <v>0</v>
      </c>
      <c r="V128" s="158">
        <f t="shared" si="19"/>
        <v>-6.1243517121197896E-2</v>
      </c>
      <c r="W128" s="158">
        <f t="shared" si="19"/>
        <v>0</v>
      </c>
      <c r="X128" s="158">
        <f t="shared" si="19"/>
        <v>-30.668983280734643</v>
      </c>
      <c r="Y128" s="158">
        <f t="shared" si="19"/>
        <v>0</v>
      </c>
      <c r="AQ128" s="3"/>
    </row>
    <row r="129" spans="3:43" x14ac:dyDescent="0.25">
      <c r="E129" s="32"/>
      <c r="F129" t="s">
        <v>192</v>
      </c>
      <c r="G129" t="s">
        <v>172</v>
      </c>
      <c r="J129" s="89">
        <f t="shared" ref="J129:Y129" si="20">J$58 * J35 * J117 / hours_in_year / $H46</f>
        <v>0</v>
      </c>
      <c r="K129" s="89">
        <f t="shared" si="20"/>
        <v>0</v>
      </c>
      <c r="L129" s="89">
        <f t="shared" si="20"/>
        <v>0</v>
      </c>
      <c r="M129" s="89">
        <f t="shared" si="20"/>
        <v>0</v>
      </c>
      <c r="N129" s="89">
        <f t="shared" si="20"/>
        <v>0</v>
      </c>
      <c r="O129" s="89">
        <f t="shared" si="20"/>
        <v>0</v>
      </c>
      <c r="P129" s="89">
        <f t="shared" si="20"/>
        <v>0</v>
      </c>
      <c r="Q129" s="89">
        <f t="shared" si="20"/>
        <v>0</v>
      </c>
      <c r="R129" s="89">
        <f t="shared" si="20"/>
        <v>0</v>
      </c>
      <c r="S129" s="89">
        <f t="shared" si="20"/>
        <v>0</v>
      </c>
      <c r="T129" s="89">
        <f t="shared" si="20"/>
        <v>0</v>
      </c>
      <c r="U129" s="89">
        <f t="shared" si="20"/>
        <v>0</v>
      </c>
      <c r="V129" s="89">
        <f t="shared" si="20"/>
        <v>0</v>
      </c>
      <c r="W129" s="89">
        <f t="shared" si="20"/>
        <v>0</v>
      </c>
      <c r="X129" s="89">
        <f t="shared" si="20"/>
        <v>0</v>
      </c>
      <c r="Y129" s="89">
        <f t="shared" si="20"/>
        <v>0</v>
      </c>
      <c r="AQ129" s="3"/>
    </row>
    <row r="130" spans="3:43" x14ac:dyDescent="0.25">
      <c r="E130" s="32"/>
      <c r="F130" t="s">
        <v>193</v>
      </c>
      <c r="G130" t="s">
        <v>172</v>
      </c>
      <c r="J130" s="89">
        <f t="shared" ref="J130:Y130" si="21">J$58 * J36 * J118 / hours_in_year / $H47</f>
        <v>0</v>
      </c>
      <c r="K130" s="89">
        <f t="shared" si="21"/>
        <v>0</v>
      </c>
      <c r="L130" s="89">
        <f t="shared" si="21"/>
        <v>0</v>
      </c>
      <c r="M130" s="89">
        <f t="shared" si="21"/>
        <v>0</v>
      </c>
      <c r="N130" s="89">
        <f t="shared" si="21"/>
        <v>0</v>
      </c>
      <c r="O130" s="89">
        <f t="shared" si="21"/>
        <v>0</v>
      </c>
      <c r="P130" s="89">
        <f t="shared" si="21"/>
        <v>0</v>
      </c>
      <c r="Q130" s="89">
        <f t="shared" si="21"/>
        <v>0</v>
      </c>
      <c r="R130" s="89">
        <f t="shared" si="21"/>
        <v>0</v>
      </c>
      <c r="S130" s="89">
        <f t="shared" si="21"/>
        <v>0</v>
      </c>
      <c r="T130" s="89">
        <f t="shared" si="21"/>
        <v>0</v>
      </c>
      <c r="U130" s="89">
        <f t="shared" si="21"/>
        <v>0</v>
      </c>
      <c r="V130" s="89">
        <f t="shared" si="21"/>
        <v>0</v>
      </c>
      <c r="W130" s="89">
        <f t="shared" si="21"/>
        <v>0</v>
      </c>
      <c r="X130" s="89">
        <f t="shared" si="21"/>
        <v>0</v>
      </c>
      <c r="Y130" s="89">
        <f t="shared" si="21"/>
        <v>0</v>
      </c>
      <c r="AQ130" s="3"/>
    </row>
    <row r="131" spans="3:43" x14ac:dyDescent="0.25">
      <c r="E131" s="32"/>
      <c r="F131" t="s">
        <v>194</v>
      </c>
      <c r="G131" t="s">
        <v>172</v>
      </c>
      <c r="J131" s="89">
        <f t="shared" ref="J131:Y131" si="22">J$58 * J37 * J119 / hours_in_year / $H48</f>
        <v>72.001200296165678</v>
      </c>
      <c r="K131" s="89">
        <f t="shared" si="22"/>
        <v>14.93456804620326</v>
      </c>
      <c r="L131" s="89">
        <f t="shared" si="22"/>
        <v>25.6280782833263</v>
      </c>
      <c r="M131" s="89">
        <f t="shared" si="22"/>
        <v>1.2130529368885596</v>
      </c>
      <c r="N131" s="89">
        <f t="shared" si="22"/>
        <v>34.588332656818615</v>
      </c>
      <c r="O131" s="89">
        <f t="shared" si="22"/>
        <v>2.7769388227135643</v>
      </c>
      <c r="P131" s="89">
        <f t="shared" si="22"/>
        <v>17.885655201801761</v>
      </c>
      <c r="Q131" s="89">
        <f t="shared" si="22"/>
        <v>3.1042060689677649</v>
      </c>
      <c r="R131" s="89">
        <f t="shared" si="22"/>
        <v>-8.7406786747315668E-2</v>
      </c>
      <c r="S131" s="89">
        <f t="shared" si="22"/>
        <v>-5.3113278859652313E-5</v>
      </c>
      <c r="T131" s="89">
        <f t="shared" si="22"/>
        <v>-9.3425582949729478</v>
      </c>
      <c r="U131" s="89">
        <f t="shared" si="22"/>
        <v>0</v>
      </c>
      <c r="V131" s="89">
        <f t="shared" si="22"/>
        <v>-7.1722560731185908E-2</v>
      </c>
      <c r="W131" s="89">
        <f t="shared" si="22"/>
        <v>0</v>
      </c>
      <c r="X131" s="89">
        <f t="shared" si="22"/>
        <v>-35.916585449578307</v>
      </c>
      <c r="Y131" s="89">
        <f t="shared" si="22"/>
        <v>0</v>
      </c>
      <c r="AQ131" s="3"/>
    </row>
    <row r="132" spans="3:43" x14ac:dyDescent="0.25">
      <c r="E132" s="32"/>
      <c r="F132" t="s">
        <v>195</v>
      </c>
      <c r="G132" t="s">
        <v>172</v>
      </c>
      <c r="J132" s="89">
        <f t="shared" ref="J132:Y132" si="23">J$58 * J38 * J120 / hours_in_year / $H49</f>
        <v>71.159080994456133</v>
      </c>
      <c r="K132" s="89">
        <f t="shared" si="23"/>
        <v>14.759894735721351</v>
      </c>
      <c r="L132" s="89">
        <f t="shared" si="23"/>
        <v>25.328334677673361</v>
      </c>
      <c r="M132" s="89">
        <f t="shared" si="23"/>
        <v>1.1988651832407402</v>
      </c>
      <c r="N132" s="89">
        <f t="shared" si="23"/>
        <v>34.183790754399681</v>
      </c>
      <c r="O132" s="89">
        <f t="shared" si="23"/>
        <v>2.7444600060736395</v>
      </c>
      <c r="P132" s="89">
        <f t="shared" si="23"/>
        <v>17.676466252073087</v>
      </c>
      <c r="Q132" s="89">
        <f t="shared" si="23"/>
        <v>3.0678995652371475</v>
      </c>
      <c r="R132" s="89">
        <f t="shared" si="23"/>
        <v>-8.6384485147931858E-2</v>
      </c>
      <c r="S132" s="89">
        <f t="shared" si="23"/>
        <v>-5.2492070919773334E-5</v>
      </c>
      <c r="T132" s="89">
        <f t="shared" si="23"/>
        <v>-9.2332886073124456</v>
      </c>
      <c r="U132" s="89">
        <f t="shared" si="23"/>
        <v>0</v>
      </c>
      <c r="V132" s="89">
        <f t="shared" si="23"/>
        <v>-7.0883700371756828E-2</v>
      </c>
      <c r="W132" s="89">
        <f t="shared" si="23"/>
        <v>0</v>
      </c>
      <c r="X132" s="89">
        <f t="shared" si="23"/>
        <v>-35.496508426776217</v>
      </c>
      <c r="Y132" s="89">
        <f t="shared" si="23"/>
        <v>0</v>
      </c>
      <c r="AQ132" s="3"/>
    </row>
    <row r="133" spans="3:43" x14ac:dyDescent="0.25">
      <c r="E133" s="32"/>
      <c r="F133" t="s">
        <v>196</v>
      </c>
      <c r="G133" t="s">
        <v>172</v>
      </c>
      <c r="J133" s="89">
        <f t="shared" ref="J133:Y133" si="24">J$58 * J39 * J121 / hours_in_year / $H50</f>
        <v>0</v>
      </c>
      <c r="K133" s="89">
        <f t="shared" si="24"/>
        <v>0</v>
      </c>
      <c r="L133" s="89">
        <f t="shared" si="24"/>
        <v>0</v>
      </c>
      <c r="M133" s="89">
        <f t="shared" si="24"/>
        <v>0</v>
      </c>
      <c r="N133" s="89">
        <f t="shared" si="24"/>
        <v>0</v>
      </c>
      <c r="O133" s="89">
        <f t="shared" si="24"/>
        <v>0</v>
      </c>
      <c r="P133" s="89">
        <f t="shared" si="24"/>
        <v>0</v>
      </c>
      <c r="Q133" s="89">
        <f t="shared" si="24"/>
        <v>0</v>
      </c>
      <c r="R133" s="89">
        <f t="shared" si="24"/>
        <v>0</v>
      </c>
      <c r="S133" s="89">
        <f t="shared" si="24"/>
        <v>0</v>
      </c>
      <c r="T133" s="89">
        <f t="shared" si="24"/>
        <v>0</v>
      </c>
      <c r="U133" s="89">
        <f t="shared" si="24"/>
        <v>0</v>
      </c>
      <c r="V133" s="89">
        <f t="shared" si="24"/>
        <v>0</v>
      </c>
      <c r="W133" s="89">
        <f t="shared" si="24"/>
        <v>0</v>
      </c>
      <c r="X133" s="89">
        <f t="shared" si="24"/>
        <v>0</v>
      </c>
      <c r="Y133" s="89">
        <f t="shared" si="24"/>
        <v>0</v>
      </c>
      <c r="AQ133" s="3"/>
    </row>
    <row r="134" spans="3:43" x14ac:dyDescent="0.25">
      <c r="E134" s="32"/>
      <c r="F134" t="s">
        <v>197</v>
      </c>
      <c r="G134" t="s">
        <v>172</v>
      </c>
      <c r="J134" s="89">
        <f t="shared" ref="J134:Y134" si="25">J$58 * J40 * J122 / hours_in_year / $H51</f>
        <v>70.472217278293428</v>
      </c>
      <c r="K134" s="89">
        <f t="shared" si="25"/>
        <v>14.617424709314774</v>
      </c>
      <c r="L134" s="89">
        <f t="shared" si="25"/>
        <v>25.083852682715122</v>
      </c>
      <c r="M134" s="89">
        <f t="shared" si="25"/>
        <v>1.1872931254874513</v>
      </c>
      <c r="N134" s="89">
        <f t="shared" si="25"/>
        <v>33.853831384183472</v>
      </c>
      <c r="O134" s="89">
        <f t="shared" si="25"/>
        <v>2.7179690793740869</v>
      </c>
      <c r="P134" s="89">
        <f t="shared" si="25"/>
        <v>17.505843990952691</v>
      </c>
      <c r="Q134" s="89">
        <f t="shared" si="25"/>
        <v>3.038286635070766</v>
      </c>
      <c r="R134" s="89">
        <f t="shared" si="25"/>
        <v>-8.5550658071214356E-2</v>
      </c>
      <c r="S134" s="89">
        <f t="shared" si="25"/>
        <v>-5.1985390698539999E-5</v>
      </c>
      <c r="T134" s="89">
        <f t="shared" si="25"/>
        <v>-9.1441641999059549</v>
      </c>
      <c r="U134" s="89">
        <f t="shared" si="25"/>
        <v>0</v>
      </c>
      <c r="V134" s="89">
        <f t="shared" si="25"/>
        <v>-7.019949476971285E-2</v>
      </c>
      <c r="W134" s="89">
        <f t="shared" si="25"/>
        <v>0</v>
      </c>
      <c r="X134" s="89">
        <f t="shared" si="25"/>
        <v>0</v>
      </c>
      <c r="Y134" s="89">
        <f t="shared" si="25"/>
        <v>0</v>
      </c>
      <c r="AQ134" s="3"/>
    </row>
    <row r="135" spans="3:43" x14ac:dyDescent="0.25">
      <c r="E135" s="32"/>
      <c r="F135" t="s">
        <v>198</v>
      </c>
      <c r="G135" t="s">
        <v>172</v>
      </c>
      <c r="J135" s="89">
        <f t="shared" ref="J135:Y135" si="26">J$58 * J41 * J123 / hours_in_year / $H52</f>
        <v>68.941659207093494</v>
      </c>
      <c r="K135" s="89">
        <f t="shared" si="26"/>
        <v>14.299954673135135</v>
      </c>
      <c r="L135" s="89">
        <f t="shared" si="26"/>
        <v>24.539066458255778</v>
      </c>
      <c r="M135" s="89">
        <f t="shared" si="26"/>
        <v>1.1615067780972612</v>
      </c>
      <c r="N135" s="89">
        <f t="shared" si="26"/>
        <v>33.118573478766834</v>
      </c>
      <c r="O135" s="89">
        <f t="shared" si="26"/>
        <v>2.6589385894537809</v>
      </c>
      <c r="P135" s="89">
        <f t="shared" si="26"/>
        <v>0</v>
      </c>
      <c r="Q135" s="89">
        <f t="shared" si="26"/>
        <v>2.9722992954988796</v>
      </c>
      <c r="R135" s="89">
        <f t="shared" si="26"/>
        <v>-8.3692617338789507E-2</v>
      </c>
      <c r="S135" s="89">
        <f t="shared" si="26"/>
        <v>0</v>
      </c>
      <c r="T135" s="89">
        <f t="shared" si="26"/>
        <v>-8.9455657328636171</v>
      </c>
      <c r="U135" s="89">
        <f t="shared" si="26"/>
        <v>0</v>
      </c>
      <c r="V135" s="89">
        <f t="shared" si="26"/>
        <v>0</v>
      </c>
      <c r="W135" s="89">
        <f t="shared" si="26"/>
        <v>0</v>
      </c>
      <c r="X135" s="89">
        <f t="shared" si="26"/>
        <v>0</v>
      </c>
      <c r="Y135" s="89">
        <f t="shared" si="26"/>
        <v>0</v>
      </c>
      <c r="AQ135" s="3"/>
    </row>
    <row r="136" spans="3:43" x14ac:dyDescent="0.25">
      <c r="E136" s="32"/>
      <c r="F136" s="37" t="s">
        <v>199</v>
      </c>
      <c r="G136" s="37" t="s">
        <v>172</v>
      </c>
      <c r="H136" s="37"/>
      <c r="I136" s="37"/>
      <c r="J136" s="82">
        <f t="shared" ref="J136:Y136" si="27">J$58 * J42 * J124 / hours_in_year / $H53</f>
        <v>66.797087923432755</v>
      </c>
      <c r="K136" s="82">
        <f t="shared" si="27"/>
        <v>13.855125342040354</v>
      </c>
      <c r="L136" s="82">
        <f t="shared" si="27"/>
        <v>23.775728617834282</v>
      </c>
      <c r="M136" s="82">
        <f t="shared" si="27"/>
        <v>1.1253757346797799</v>
      </c>
      <c r="N136" s="82">
        <f t="shared" si="27"/>
        <v>32.088352528832637</v>
      </c>
      <c r="O136" s="82">
        <f t="shared" si="27"/>
        <v>0</v>
      </c>
      <c r="P136" s="82">
        <f t="shared" si="27"/>
        <v>0</v>
      </c>
      <c r="Q136" s="82">
        <f t="shared" si="27"/>
        <v>2.879839848063416</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25">
      <c r="D137" s="32"/>
      <c r="J137" s="89"/>
      <c r="K137" s="89"/>
      <c r="L137" s="89"/>
      <c r="M137" s="89"/>
      <c r="N137" s="89"/>
      <c r="O137" s="89"/>
      <c r="P137" s="89"/>
      <c r="Q137" s="89"/>
      <c r="R137" s="89"/>
      <c r="S137" s="89"/>
      <c r="T137" s="89"/>
      <c r="U137" s="89"/>
      <c r="V137" s="89"/>
      <c r="W137" s="89"/>
      <c r="X137" s="89"/>
      <c r="Y137" s="89"/>
      <c r="AQ137" s="3"/>
    </row>
    <row r="138" spans="3:43" x14ac:dyDescent="0.25">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25">
      <c r="H139" s="63"/>
      <c r="J139" s="89"/>
      <c r="K139" s="89"/>
      <c r="L139" s="89"/>
      <c r="M139" s="89"/>
      <c r="N139" s="89"/>
      <c r="O139" s="89"/>
      <c r="P139" s="89"/>
      <c r="Q139" s="89"/>
      <c r="R139" s="89"/>
      <c r="S139" s="89"/>
      <c r="T139" s="89"/>
      <c r="U139" s="89"/>
      <c r="V139" s="89"/>
      <c r="W139" s="89"/>
      <c r="X139" s="89"/>
      <c r="Y139" s="89"/>
    </row>
    <row r="140" spans="3:43" x14ac:dyDescent="0.25">
      <c r="E140" s="32" t="s">
        <v>516</v>
      </c>
      <c r="J140" s="89"/>
      <c r="K140" s="89"/>
      <c r="L140" s="89"/>
      <c r="M140" s="89"/>
      <c r="N140" s="89"/>
      <c r="O140" s="89"/>
      <c r="P140" s="89"/>
      <c r="Q140" s="89"/>
      <c r="R140" s="89"/>
      <c r="S140" s="89"/>
      <c r="T140" s="89"/>
      <c r="U140" s="89"/>
      <c r="V140" s="89"/>
      <c r="W140" s="89"/>
      <c r="X140" s="89"/>
      <c r="Y140" s="89"/>
      <c r="AQ140" s="3"/>
    </row>
    <row r="141" spans="3:43" x14ac:dyDescent="0.25">
      <c r="E141" s="29" t="s">
        <v>517</v>
      </c>
      <c r="J141" s="89"/>
      <c r="K141" s="89"/>
      <c r="L141" s="89"/>
      <c r="M141" s="89"/>
      <c r="N141" s="89"/>
      <c r="O141" s="89"/>
      <c r="P141" s="89"/>
      <c r="Q141" s="89"/>
      <c r="R141" s="89"/>
      <c r="S141" s="89"/>
      <c r="T141" s="89"/>
      <c r="U141" s="89"/>
      <c r="V141" s="89"/>
      <c r="W141" s="89"/>
      <c r="X141" s="89"/>
      <c r="Y141" s="89"/>
      <c r="AQ141" s="3"/>
    </row>
    <row r="142" spans="3:43" x14ac:dyDescent="0.25">
      <c r="C142" s="32"/>
      <c r="F142" s="23" t="s">
        <v>191</v>
      </c>
      <c r="G142" s="23" t="s">
        <v>172</v>
      </c>
      <c r="H142" s="23"/>
      <c r="I142" s="23"/>
      <c r="J142" s="158">
        <f t="shared" ref="J142:Y142" si="28">J82 + J105 + J128</f>
        <v>537.1956418744719</v>
      </c>
      <c r="K142" s="158">
        <f t="shared" si="28"/>
        <v>42.020926851139421</v>
      </c>
      <c r="L142" s="158">
        <f t="shared" si="28"/>
        <v>205.42389076380906</v>
      </c>
      <c r="M142" s="158">
        <f t="shared" si="28"/>
        <v>6.2596969757517593</v>
      </c>
      <c r="N142" s="158">
        <f t="shared" si="28"/>
        <v>252.61115915038607</v>
      </c>
      <c r="O142" s="158">
        <f t="shared" si="28"/>
        <v>16.981532370216691</v>
      </c>
      <c r="P142" s="158">
        <f t="shared" si="28"/>
        <v>111.66579609366566</v>
      </c>
      <c r="Q142" s="158">
        <f t="shared" si="28"/>
        <v>14.738014148339142</v>
      </c>
      <c r="R142" s="158">
        <f t="shared" si="28"/>
        <v>-0.87636405961730812</v>
      </c>
      <c r="S142" s="158">
        <f t="shared" si="28"/>
        <v>-5.101496532276767E-4</v>
      </c>
      <c r="T142" s="158">
        <f t="shared" si="28"/>
        <v>-49.710668052518493</v>
      </c>
      <c r="U142" s="158">
        <f t="shared" si="28"/>
        <v>0</v>
      </c>
      <c r="V142" s="158">
        <f t="shared" si="28"/>
        <v>-0.44986796294384523</v>
      </c>
      <c r="W142" s="158">
        <f t="shared" si="28"/>
        <v>0</v>
      </c>
      <c r="X142" s="158">
        <f t="shared" si="28"/>
        <v>-202.62033469422434</v>
      </c>
      <c r="Y142" s="158">
        <f t="shared" si="28"/>
        <v>0</v>
      </c>
      <c r="AQ142" s="3"/>
    </row>
    <row r="143" spans="3:43" x14ac:dyDescent="0.25">
      <c r="C143" s="32"/>
      <c r="F143" t="s">
        <v>192</v>
      </c>
      <c r="G143" t="s">
        <v>172</v>
      </c>
      <c r="J143" s="89">
        <f t="shared" ref="J143:Y143" si="29">J83 + J106 + J129</f>
        <v>0</v>
      </c>
      <c r="K143" s="89">
        <f t="shared" si="29"/>
        <v>0</v>
      </c>
      <c r="L143" s="89">
        <f t="shared" si="29"/>
        <v>0</v>
      </c>
      <c r="M143" s="89">
        <f t="shared" si="29"/>
        <v>0</v>
      </c>
      <c r="N143" s="89">
        <f t="shared" si="29"/>
        <v>0</v>
      </c>
      <c r="O143" s="89">
        <f t="shared" si="29"/>
        <v>0</v>
      </c>
      <c r="P143" s="89">
        <f t="shared" si="29"/>
        <v>0</v>
      </c>
      <c r="Q143" s="89">
        <f t="shared" si="29"/>
        <v>0</v>
      </c>
      <c r="R143" s="89">
        <f t="shared" si="29"/>
        <v>0</v>
      </c>
      <c r="S143" s="89">
        <f t="shared" si="29"/>
        <v>0</v>
      </c>
      <c r="T143" s="89">
        <f t="shared" si="29"/>
        <v>0</v>
      </c>
      <c r="U143" s="89">
        <f t="shared" si="29"/>
        <v>0</v>
      </c>
      <c r="V143" s="89">
        <f t="shared" si="29"/>
        <v>0</v>
      </c>
      <c r="W143" s="89">
        <f t="shared" si="29"/>
        <v>0</v>
      </c>
      <c r="X143" s="89">
        <f t="shared" si="29"/>
        <v>0</v>
      </c>
      <c r="Y143" s="89">
        <f t="shared" si="29"/>
        <v>0</v>
      </c>
      <c r="AQ143" s="3"/>
    </row>
    <row r="144" spans="3:43" x14ac:dyDescent="0.25">
      <c r="C144" s="32"/>
      <c r="F144" t="s">
        <v>193</v>
      </c>
      <c r="G144" t="s">
        <v>172</v>
      </c>
      <c r="J144" s="89">
        <f t="shared" ref="J144:Y144" si="30">J84 + J107 + J130</f>
        <v>0</v>
      </c>
      <c r="K144" s="89">
        <f t="shared" si="30"/>
        <v>0</v>
      </c>
      <c r="L144" s="89">
        <f t="shared" si="30"/>
        <v>0</v>
      </c>
      <c r="M144" s="89">
        <f t="shared" si="30"/>
        <v>0</v>
      </c>
      <c r="N144" s="89">
        <f t="shared" si="30"/>
        <v>0</v>
      </c>
      <c r="O144" s="89">
        <f t="shared" si="30"/>
        <v>0</v>
      </c>
      <c r="P144" s="89">
        <f t="shared" si="30"/>
        <v>0</v>
      </c>
      <c r="Q144" s="89">
        <f t="shared" si="30"/>
        <v>0</v>
      </c>
      <c r="R144" s="89">
        <f t="shared" si="30"/>
        <v>0</v>
      </c>
      <c r="S144" s="89">
        <f t="shared" si="30"/>
        <v>0</v>
      </c>
      <c r="T144" s="89">
        <f t="shared" si="30"/>
        <v>0</v>
      </c>
      <c r="U144" s="89">
        <f t="shared" si="30"/>
        <v>0</v>
      </c>
      <c r="V144" s="89">
        <f t="shared" si="30"/>
        <v>0</v>
      </c>
      <c r="W144" s="89">
        <f t="shared" si="30"/>
        <v>0</v>
      </c>
      <c r="X144" s="89">
        <f t="shared" si="30"/>
        <v>0</v>
      </c>
      <c r="Y144" s="89">
        <f t="shared" si="30"/>
        <v>0</v>
      </c>
      <c r="AQ144" s="3"/>
    </row>
    <row r="145" spans="3:43" x14ac:dyDescent="0.25">
      <c r="C145" s="32"/>
      <c r="F145" t="s">
        <v>194</v>
      </c>
      <c r="G145" t="s">
        <v>172</v>
      </c>
      <c r="J145" s="89">
        <f t="shared" ref="J145:Y145" si="31">J85 + J108 + J131</f>
        <v>521.13094028048454</v>
      </c>
      <c r="K145" s="89">
        <f t="shared" si="31"/>
        <v>44.176577912550002</v>
      </c>
      <c r="L145" s="89">
        <f t="shared" si="31"/>
        <v>200.99305163513921</v>
      </c>
      <c r="M145" s="89">
        <f t="shared" si="31"/>
        <v>6.178346712906718</v>
      </c>
      <c r="N145" s="89">
        <f t="shared" si="31"/>
        <v>247.68028044495057</v>
      </c>
      <c r="O145" s="89">
        <f t="shared" si="31"/>
        <v>16.720979778923546</v>
      </c>
      <c r="P145" s="89">
        <f t="shared" si="31"/>
        <v>109.77884228752757</v>
      </c>
      <c r="Q145" s="89">
        <f t="shared" si="31"/>
        <v>13.847559969077567</v>
      </c>
      <c r="R145" s="89">
        <f t="shared" si="31"/>
        <v>-0.85269231814774926</v>
      </c>
      <c r="S145" s="89">
        <f t="shared" si="31"/>
        <v>-4.9524252017330657E-4</v>
      </c>
      <c r="T145" s="89">
        <f t="shared" si="31"/>
        <v>-49.190922751876784</v>
      </c>
      <c r="U145" s="89">
        <f t="shared" si="31"/>
        <v>0</v>
      </c>
      <c r="V145" s="89">
        <f t="shared" si="31"/>
        <v>-0.44005673092250985</v>
      </c>
      <c r="W145" s="89">
        <f t="shared" si="31"/>
        <v>0</v>
      </c>
      <c r="X145" s="89">
        <f t="shared" si="31"/>
        <v>-199.66577433710836</v>
      </c>
      <c r="Y145" s="89">
        <f t="shared" si="31"/>
        <v>0</v>
      </c>
      <c r="AQ145" s="3"/>
    </row>
    <row r="146" spans="3:43" x14ac:dyDescent="0.25">
      <c r="C146" s="32"/>
      <c r="F146" t="s">
        <v>195</v>
      </c>
      <c r="G146" t="s">
        <v>172</v>
      </c>
      <c r="J146" s="89">
        <f t="shared" ref="J146:Y146" si="32">J86 + J109 + J132</f>
        <v>515.03584156375371</v>
      </c>
      <c r="K146" s="89">
        <f t="shared" si="32"/>
        <v>43.659892790765795</v>
      </c>
      <c r="L146" s="89">
        <f t="shared" si="32"/>
        <v>198.642255709582</v>
      </c>
      <c r="M146" s="89">
        <f t="shared" si="32"/>
        <v>6.1060853478434813</v>
      </c>
      <c r="N146" s="89">
        <f t="shared" si="32"/>
        <v>244.78343505962948</v>
      </c>
      <c r="O146" s="89">
        <f t="shared" si="32"/>
        <v>16.525412763965377</v>
      </c>
      <c r="P146" s="89">
        <f t="shared" si="32"/>
        <v>108.49487921983717</v>
      </c>
      <c r="Q146" s="89">
        <f t="shared" si="32"/>
        <v>13.685600203357364</v>
      </c>
      <c r="R146" s="89">
        <f t="shared" si="32"/>
        <v>-0.84271930857876975</v>
      </c>
      <c r="S146" s="89">
        <f t="shared" si="32"/>
        <v>-4.8945020999584092E-4</v>
      </c>
      <c r="T146" s="89">
        <f t="shared" si="32"/>
        <v>-48.615590322030272</v>
      </c>
      <c r="U146" s="89">
        <f t="shared" si="32"/>
        <v>0</v>
      </c>
      <c r="V146" s="89">
        <f t="shared" si="32"/>
        <v>-0.43490986857253899</v>
      </c>
      <c r="W146" s="89">
        <f t="shared" si="32"/>
        <v>0</v>
      </c>
      <c r="X146" s="89">
        <f t="shared" si="32"/>
        <v>-197.33050212263927</v>
      </c>
      <c r="Y146" s="89">
        <f t="shared" si="32"/>
        <v>0</v>
      </c>
      <c r="AQ146" s="3"/>
    </row>
    <row r="147" spans="3:43" x14ac:dyDescent="0.25">
      <c r="C147" s="32"/>
      <c r="F147" t="s">
        <v>196</v>
      </c>
      <c r="G147" t="s">
        <v>172</v>
      </c>
      <c r="H147" s="63"/>
      <c r="J147" s="89">
        <f t="shared" ref="J147:Y147" si="33">J87 + J110 + J133</f>
        <v>0</v>
      </c>
      <c r="K147" s="89">
        <f t="shared" si="33"/>
        <v>0</v>
      </c>
      <c r="L147" s="89">
        <f t="shared" si="33"/>
        <v>0</v>
      </c>
      <c r="M147" s="89">
        <f t="shared" si="33"/>
        <v>0</v>
      </c>
      <c r="N147" s="89">
        <f t="shared" si="33"/>
        <v>0</v>
      </c>
      <c r="O147" s="89">
        <f t="shared" si="33"/>
        <v>0</v>
      </c>
      <c r="P147" s="89">
        <f t="shared" si="33"/>
        <v>0</v>
      </c>
      <c r="Q147" s="89">
        <f t="shared" si="33"/>
        <v>0</v>
      </c>
      <c r="R147" s="89">
        <f t="shared" si="33"/>
        <v>0</v>
      </c>
      <c r="S147" s="89">
        <f t="shared" si="33"/>
        <v>0</v>
      </c>
      <c r="T147" s="89">
        <f t="shared" si="33"/>
        <v>0</v>
      </c>
      <c r="U147" s="89">
        <f t="shared" si="33"/>
        <v>0</v>
      </c>
      <c r="V147" s="89">
        <f t="shared" si="33"/>
        <v>0</v>
      </c>
      <c r="W147" s="89">
        <f t="shared" si="33"/>
        <v>0</v>
      </c>
      <c r="X147" s="89">
        <f t="shared" si="33"/>
        <v>0</v>
      </c>
      <c r="Y147" s="89">
        <f t="shared" si="33"/>
        <v>0</v>
      </c>
      <c r="AQ147" s="3"/>
    </row>
    <row r="148" spans="3:43" x14ac:dyDescent="0.25">
      <c r="C148" s="32"/>
      <c r="F148" t="s">
        <v>197</v>
      </c>
      <c r="G148" t="s">
        <v>172</v>
      </c>
      <c r="J148" s="89">
        <f t="shared" ref="J148:Y148" si="34">J88 + J111 + J134</f>
        <v>510.06445313167114</v>
      </c>
      <c r="K148" s="89">
        <f t="shared" si="34"/>
        <v>43.238465254175395</v>
      </c>
      <c r="L148" s="89">
        <f t="shared" si="34"/>
        <v>196.72485941894899</v>
      </c>
      <c r="M148" s="89">
        <f t="shared" si="34"/>
        <v>6.0471463000843739</v>
      </c>
      <c r="N148" s="89">
        <f>N88 + N111 + N134</f>
        <v>242.42066058994197</v>
      </c>
      <c r="O148" s="89">
        <f t="shared" si="34"/>
        <v>16.365901057749493</v>
      </c>
      <c r="P148" s="89">
        <f t="shared" si="34"/>
        <v>107.44763135091983</v>
      </c>
      <c r="Q148" s="89">
        <f t="shared" si="34"/>
        <v>13.553499815294067</v>
      </c>
      <c r="R148" s="89">
        <f t="shared" si="34"/>
        <v>-0.83458495231835694</v>
      </c>
      <c r="S148" s="89">
        <f t="shared" si="34"/>
        <v>-4.8472578711943325E-4</v>
      </c>
      <c r="T148" s="89">
        <f t="shared" si="34"/>
        <v>-48.146327867184425</v>
      </c>
      <c r="U148" s="89">
        <f t="shared" si="34"/>
        <v>0</v>
      </c>
      <c r="V148" s="89">
        <f t="shared" si="34"/>
        <v>-0.43071189686817091</v>
      </c>
      <c r="W148" s="89">
        <f t="shared" si="34"/>
        <v>0</v>
      </c>
      <c r="X148" s="89">
        <f t="shared" si="34"/>
        <v>0</v>
      </c>
      <c r="Y148" s="89">
        <f t="shared" si="34"/>
        <v>0</v>
      </c>
      <c r="AQ148" s="3"/>
    </row>
    <row r="149" spans="3:43" x14ac:dyDescent="0.25">
      <c r="C149" s="32"/>
      <c r="F149" t="s">
        <v>198</v>
      </c>
      <c r="G149" t="s">
        <v>172</v>
      </c>
      <c r="J149" s="89">
        <f t="shared" ref="J149:Y149" si="35">J89 + J112 + J135</f>
        <v>498.98656604760276</v>
      </c>
      <c r="K149" s="89">
        <f t="shared" si="35"/>
        <v>42.299386216549301</v>
      </c>
      <c r="L149" s="89">
        <f t="shared" si="35"/>
        <v>192.45227040418428</v>
      </c>
      <c r="M149" s="89">
        <f t="shared" si="35"/>
        <v>5.915810733604733</v>
      </c>
      <c r="N149" s="89">
        <f t="shared" si="35"/>
        <v>237.15562263567506</v>
      </c>
      <c r="O149" s="89">
        <f t="shared" si="35"/>
        <v>16.010456558855974</v>
      </c>
      <c r="P149" s="89">
        <f t="shared" si="35"/>
        <v>0</v>
      </c>
      <c r="Q149" s="89">
        <f t="shared" si="35"/>
        <v>13.259136740929797</v>
      </c>
      <c r="R149" s="89">
        <f t="shared" si="35"/>
        <v>-0.8164589335239073</v>
      </c>
      <c r="S149" s="89">
        <f t="shared" si="35"/>
        <v>0</v>
      </c>
      <c r="T149" s="89">
        <f t="shared" si="35"/>
        <v>-47.100656912561917</v>
      </c>
      <c r="U149" s="89">
        <f t="shared" si="35"/>
        <v>0</v>
      </c>
      <c r="V149" s="89">
        <f t="shared" si="35"/>
        <v>0</v>
      </c>
      <c r="W149" s="89">
        <f t="shared" si="35"/>
        <v>0</v>
      </c>
      <c r="X149" s="89">
        <f t="shared" si="35"/>
        <v>0</v>
      </c>
      <c r="Y149" s="89">
        <f t="shared" si="35"/>
        <v>0</v>
      </c>
      <c r="AQ149" s="3"/>
    </row>
    <row r="150" spans="3:43" x14ac:dyDescent="0.25">
      <c r="C150" s="32"/>
      <c r="F150" s="37" t="s">
        <v>199</v>
      </c>
      <c r="G150" s="37" t="s">
        <v>172</v>
      </c>
      <c r="H150" s="37"/>
      <c r="I150" s="37"/>
      <c r="J150" s="82">
        <f t="shared" ref="J150:Y150" si="36">J90 + J113 + J136</f>
        <v>483.46456856762245</v>
      </c>
      <c r="K150" s="82">
        <f t="shared" si="36"/>
        <v>40.983577313198268</v>
      </c>
      <c r="L150" s="82">
        <f t="shared" si="36"/>
        <v>186.46564900094344</v>
      </c>
      <c r="M150" s="82">
        <f t="shared" si="36"/>
        <v>5.731787343904311</v>
      </c>
      <c r="N150" s="82">
        <f t="shared" si="36"/>
        <v>229.77841205048477</v>
      </c>
      <c r="O150" s="82">
        <f t="shared" si="36"/>
        <v>0</v>
      </c>
      <c r="P150" s="82">
        <f t="shared" si="36"/>
        <v>0</v>
      </c>
      <c r="Q150" s="82">
        <f t="shared" si="36"/>
        <v>12.846684179912767</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25">
      <c r="C151" s="32"/>
      <c r="J151" s="63"/>
      <c r="K151" s="63"/>
      <c r="L151" s="63"/>
      <c r="M151" s="63"/>
      <c r="N151" s="63"/>
      <c r="O151" s="63"/>
      <c r="P151" s="63"/>
      <c r="Q151" s="63"/>
      <c r="R151" s="63"/>
      <c r="S151" s="63"/>
      <c r="T151" s="63"/>
      <c r="U151" s="63"/>
      <c r="V151" s="63"/>
      <c r="W151" s="63"/>
      <c r="X151" s="63"/>
      <c r="Y151" s="63"/>
      <c r="AQ151" s="3"/>
    </row>
    <row r="152" spans="3:43" x14ac:dyDescent="0.25">
      <c r="E152" s="32" t="s">
        <v>518</v>
      </c>
      <c r="J152" s="63"/>
      <c r="K152" s="63"/>
      <c r="L152" s="63"/>
      <c r="M152" s="63"/>
      <c r="N152" s="63"/>
      <c r="O152" s="63"/>
      <c r="P152" s="63"/>
      <c r="Q152" s="63"/>
      <c r="R152" s="63"/>
      <c r="S152" s="63"/>
      <c r="T152" s="63"/>
      <c r="U152" s="63"/>
      <c r="V152" s="63"/>
      <c r="W152" s="63"/>
      <c r="X152" s="63"/>
      <c r="Y152" s="63"/>
      <c r="AQ152" s="3"/>
    </row>
    <row r="153" spans="3:43" x14ac:dyDescent="0.25">
      <c r="E153" s="29" t="s">
        <v>519</v>
      </c>
      <c r="J153" s="63"/>
      <c r="K153" s="63"/>
      <c r="L153" s="63"/>
      <c r="M153" s="63"/>
      <c r="N153" s="63"/>
      <c r="O153" s="63"/>
      <c r="P153" s="63"/>
      <c r="Q153" s="63"/>
      <c r="R153" s="63"/>
      <c r="S153" s="63"/>
      <c r="T153" s="63"/>
      <c r="U153" s="63"/>
      <c r="V153" s="63"/>
      <c r="W153" s="63"/>
      <c r="X153" s="63"/>
      <c r="Y153" s="63"/>
      <c r="AQ153" s="3"/>
    </row>
    <row r="154" spans="3:43" x14ac:dyDescent="0.25">
      <c r="C154" s="32"/>
      <c r="F154" s="23" t="s">
        <v>191</v>
      </c>
      <c r="G154" s="23" t="s">
        <v>520</v>
      </c>
      <c r="H154" s="101">
        <f t="shared" ref="H154:H162" si="37">SUM(J142:Y142) * thousand</f>
        <v>933238.9133088222</v>
      </c>
      <c r="J154" s="63"/>
      <c r="K154" s="63"/>
      <c r="L154" s="63"/>
      <c r="M154" s="63"/>
      <c r="N154" s="63"/>
      <c r="O154" s="63"/>
      <c r="P154" s="63"/>
      <c r="Q154" s="63"/>
      <c r="R154" s="63"/>
      <c r="S154" s="63"/>
      <c r="T154" s="63"/>
      <c r="U154" s="63"/>
      <c r="V154" s="63"/>
      <c r="W154" s="63"/>
      <c r="X154" s="63"/>
      <c r="Y154" s="63"/>
      <c r="AQ154" s="3"/>
    </row>
    <row r="155" spans="3:43" x14ac:dyDescent="0.25">
      <c r="C155" s="32"/>
      <c r="F155" t="s">
        <v>192</v>
      </c>
      <c r="G155" t="s">
        <v>520</v>
      </c>
      <c r="H155" s="121">
        <f t="shared" si="37"/>
        <v>0</v>
      </c>
      <c r="J155" s="63"/>
      <c r="K155" s="63"/>
      <c r="L155" s="63"/>
      <c r="M155" s="63"/>
      <c r="N155" s="63"/>
      <c r="O155" s="63"/>
      <c r="P155" s="63"/>
      <c r="Q155" s="63"/>
      <c r="R155" s="63"/>
      <c r="S155" s="63"/>
      <c r="T155" s="63"/>
      <c r="U155" s="63"/>
      <c r="V155" s="63"/>
      <c r="W155" s="63"/>
      <c r="X155" s="63"/>
      <c r="Y155" s="63"/>
      <c r="AQ155" s="3"/>
    </row>
    <row r="156" spans="3:43" x14ac:dyDescent="0.25">
      <c r="C156" s="32"/>
      <c r="F156" t="s">
        <v>193</v>
      </c>
      <c r="G156" t="s">
        <v>520</v>
      </c>
      <c r="H156" s="121">
        <f t="shared" si="37"/>
        <v>0</v>
      </c>
      <c r="J156" s="63"/>
      <c r="K156" s="63"/>
      <c r="L156" s="63"/>
      <c r="M156" s="63"/>
      <c r="N156" s="63"/>
      <c r="O156" s="63"/>
      <c r="P156" s="63"/>
      <c r="Q156" s="63"/>
      <c r="R156" s="63"/>
      <c r="S156" s="63"/>
      <c r="T156" s="63"/>
      <c r="U156" s="63"/>
      <c r="V156" s="63"/>
      <c r="W156" s="63"/>
      <c r="X156" s="63"/>
      <c r="Y156" s="63"/>
      <c r="AQ156" s="3"/>
    </row>
    <row r="157" spans="3:43" x14ac:dyDescent="0.25">
      <c r="C157" s="32"/>
      <c r="F157" t="s">
        <v>194</v>
      </c>
      <c r="G157" t="s">
        <v>520</v>
      </c>
      <c r="H157" s="121">
        <f t="shared" si="37"/>
        <v>910356.63764098403</v>
      </c>
      <c r="J157" s="63"/>
      <c r="K157" s="63"/>
      <c r="L157" s="63"/>
      <c r="M157" s="63"/>
      <c r="N157" s="63"/>
      <c r="O157" s="63"/>
      <c r="P157" s="63"/>
      <c r="Q157" s="63"/>
      <c r="R157" s="63"/>
      <c r="S157" s="63"/>
      <c r="T157" s="63"/>
      <c r="U157" s="63"/>
      <c r="V157" s="63"/>
      <c r="W157" s="63"/>
      <c r="X157" s="63"/>
      <c r="Y157" s="63"/>
      <c r="AQ157" s="3"/>
    </row>
    <row r="158" spans="3:43" x14ac:dyDescent="0.25">
      <c r="C158" s="32"/>
      <c r="F158" t="s">
        <v>195</v>
      </c>
      <c r="G158" t="s">
        <v>520</v>
      </c>
      <c r="H158" s="121">
        <f t="shared" si="37"/>
        <v>899709.19158670353</v>
      </c>
      <c r="J158" s="63"/>
      <c r="K158" s="63"/>
      <c r="L158" s="63"/>
      <c r="M158" s="63"/>
      <c r="N158" s="63"/>
      <c r="O158" s="63"/>
      <c r="P158" s="63"/>
      <c r="Q158" s="63"/>
      <c r="R158" s="63"/>
      <c r="S158" s="63"/>
      <c r="T158" s="63"/>
      <c r="U158" s="63"/>
      <c r="V158" s="63"/>
      <c r="W158" s="63"/>
      <c r="X158" s="63"/>
      <c r="Y158" s="63"/>
      <c r="AQ158" s="3"/>
    </row>
    <row r="159" spans="3:43" x14ac:dyDescent="0.25">
      <c r="C159" s="32"/>
      <c r="F159" t="s">
        <v>196</v>
      </c>
      <c r="G159" t="s">
        <v>520</v>
      </c>
      <c r="H159" s="121">
        <f t="shared" si="37"/>
        <v>0</v>
      </c>
      <c r="J159" s="63"/>
      <c r="K159" s="63"/>
      <c r="L159" s="63"/>
      <c r="M159" s="63"/>
      <c r="N159" s="63"/>
      <c r="O159" s="63"/>
      <c r="P159" s="63"/>
      <c r="Q159" s="63"/>
      <c r="R159" s="63"/>
      <c r="S159" s="63"/>
      <c r="T159" s="63"/>
      <c r="U159" s="63"/>
      <c r="V159" s="63"/>
      <c r="W159" s="63"/>
      <c r="X159" s="63"/>
      <c r="Y159" s="63"/>
      <c r="AQ159" s="3"/>
    </row>
    <row r="160" spans="3:43" x14ac:dyDescent="0.25">
      <c r="C160" s="32"/>
      <c r="F160" t="s">
        <v>197</v>
      </c>
      <c r="G160" t="s">
        <v>520</v>
      </c>
      <c r="H160" s="121">
        <f t="shared" si="37"/>
        <v>1086450.5074766271</v>
      </c>
      <c r="J160" s="63"/>
      <c r="K160" s="63"/>
      <c r="L160" s="63"/>
      <c r="M160" s="63"/>
      <c r="N160" s="63"/>
      <c r="O160" s="63"/>
      <c r="P160" s="63"/>
      <c r="Q160" s="63"/>
      <c r="R160" s="63"/>
      <c r="S160" s="63"/>
      <c r="T160" s="63"/>
      <c r="U160" s="63"/>
      <c r="V160" s="63"/>
      <c r="W160" s="63"/>
      <c r="X160" s="63"/>
      <c r="Y160" s="63"/>
      <c r="AQ160" s="3"/>
    </row>
    <row r="161" spans="3:43" x14ac:dyDescent="0.25">
      <c r="C161" s="32"/>
      <c r="F161" t="s">
        <v>198</v>
      </c>
      <c r="G161" t="s">
        <v>520</v>
      </c>
      <c r="H161" s="121">
        <f t="shared" si="37"/>
        <v>958162.13349131611</v>
      </c>
      <c r="J161" s="63"/>
      <c r="K161" s="63"/>
      <c r="L161" s="63"/>
      <c r="M161" s="63"/>
      <c r="N161" s="63"/>
      <c r="O161" s="63"/>
      <c r="P161" s="63"/>
      <c r="Q161" s="63"/>
      <c r="R161" s="63"/>
      <c r="S161" s="63"/>
      <c r="T161" s="63"/>
      <c r="U161" s="63"/>
      <c r="V161" s="63"/>
      <c r="W161" s="63"/>
      <c r="X161" s="63"/>
      <c r="Y161" s="63"/>
      <c r="AQ161" s="3"/>
    </row>
    <row r="162" spans="3:43" x14ac:dyDescent="0.25">
      <c r="C162" s="32"/>
      <c r="F162" s="37" t="s">
        <v>199</v>
      </c>
      <c r="G162" s="37" t="s">
        <v>520</v>
      </c>
      <c r="H162" s="131">
        <f t="shared" si="37"/>
        <v>959270.67845606606</v>
      </c>
      <c r="J162" s="63"/>
      <c r="K162" s="63"/>
      <c r="L162" s="63"/>
      <c r="M162" s="63"/>
      <c r="N162" s="63"/>
      <c r="O162" s="63"/>
      <c r="P162" s="63"/>
      <c r="Q162" s="63"/>
      <c r="R162" s="63"/>
      <c r="S162" s="63"/>
      <c r="T162" s="63"/>
      <c r="U162" s="63"/>
      <c r="V162" s="63"/>
      <c r="W162" s="63"/>
      <c r="X162" s="63"/>
      <c r="Y162" s="63"/>
      <c r="AQ162" s="3"/>
    </row>
    <row r="163" spans="3:43" x14ac:dyDescent="0.25">
      <c r="C163" s="32"/>
      <c r="J163" s="63"/>
      <c r="K163" s="63"/>
      <c r="L163" s="63"/>
      <c r="M163" s="63"/>
      <c r="N163" s="63"/>
      <c r="O163" s="63"/>
      <c r="P163" s="63"/>
      <c r="Q163" s="63"/>
      <c r="R163" s="63"/>
      <c r="S163" s="63"/>
      <c r="T163" s="63"/>
      <c r="U163" s="63"/>
      <c r="V163" s="63"/>
      <c r="W163" s="63"/>
      <c r="X163" s="63"/>
      <c r="Y163" s="63"/>
      <c r="AQ163" s="3"/>
    </row>
    <row r="164" spans="3:43" x14ac:dyDescent="0.25">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25">
      <c r="H165" s="63"/>
      <c r="J165" s="63"/>
      <c r="K165" s="63"/>
      <c r="L165" s="63"/>
      <c r="M165" s="63"/>
      <c r="N165" s="63"/>
      <c r="O165" s="63"/>
      <c r="P165" s="63"/>
      <c r="Q165" s="63"/>
      <c r="R165" s="63"/>
      <c r="S165" s="63"/>
      <c r="T165" s="63"/>
      <c r="U165" s="63"/>
      <c r="V165" s="63"/>
      <c r="W165" s="63"/>
      <c r="X165" s="63"/>
      <c r="Y165" s="63"/>
    </row>
    <row r="166" spans="3:43" x14ac:dyDescent="0.25">
      <c r="E166" s="32" t="s">
        <v>521</v>
      </c>
      <c r="H166" s="63"/>
      <c r="J166" s="63"/>
      <c r="K166" s="63"/>
      <c r="L166" s="63"/>
      <c r="M166" s="63"/>
      <c r="N166" s="63"/>
      <c r="O166" s="63"/>
      <c r="P166" s="63"/>
      <c r="Q166" s="63"/>
      <c r="R166" s="63"/>
      <c r="S166" s="63"/>
      <c r="T166" s="63"/>
      <c r="U166" s="63"/>
      <c r="V166" s="63"/>
      <c r="W166" s="63"/>
      <c r="X166" s="63"/>
      <c r="Y166" s="63"/>
    </row>
    <row r="167" spans="3:43" x14ac:dyDescent="0.25">
      <c r="E167" s="29" t="s">
        <v>522</v>
      </c>
      <c r="F167" s="29"/>
      <c r="J167" s="63"/>
      <c r="K167" s="63"/>
      <c r="L167" s="63"/>
      <c r="M167" s="63"/>
      <c r="N167" s="63"/>
      <c r="O167" s="63"/>
      <c r="P167" s="63"/>
      <c r="Q167" s="63"/>
      <c r="R167" s="63"/>
      <c r="S167" s="63"/>
      <c r="T167" s="63"/>
      <c r="U167" s="63"/>
      <c r="V167" s="63"/>
      <c r="W167" s="63"/>
      <c r="X167" s="63"/>
      <c r="Y167" s="63"/>
      <c r="AQ167" s="3"/>
    </row>
    <row r="168" spans="3:43" x14ac:dyDescent="0.25">
      <c r="C168" s="32"/>
      <c r="F168" s="23" t="s">
        <v>191</v>
      </c>
      <c r="G168" s="23" t="s">
        <v>172</v>
      </c>
      <c r="H168" s="129"/>
      <c r="I168" s="23"/>
      <c r="J168" s="158">
        <f t="shared" ref="J168:Y168" si="38">J142 * (1 - J23)</f>
        <v>537.1956418744719</v>
      </c>
      <c r="K168" s="158">
        <f t="shared" si="38"/>
        <v>42.020926851139421</v>
      </c>
      <c r="L168" s="158">
        <f t="shared" si="38"/>
        <v>205.42389076380906</v>
      </c>
      <c r="M168" s="158">
        <f t="shared" si="38"/>
        <v>6.2596969757517593</v>
      </c>
      <c r="N168" s="158">
        <f t="shared" si="38"/>
        <v>252.61115915038607</v>
      </c>
      <c r="O168" s="158">
        <f t="shared" si="38"/>
        <v>16.981532370216691</v>
      </c>
      <c r="P168" s="158">
        <f t="shared" si="38"/>
        <v>111.66579609366566</v>
      </c>
      <c r="Q168" s="158">
        <f t="shared" si="38"/>
        <v>14.738014148339142</v>
      </c>
      <c r="R168" s="158">
        <f t="shared" si="38"/>
        <v>-0.87636405961730812</v>
      </c>
      <c r="S168" s="158">
        <f t="shared" si="38"/>
        <v>-5.101496532276767E-4</v>
      </c>
      <c r="T168" s="158">
        <f t="shared" si="38"/>
        <v>-49.710668052518493</v>
      </c>
      <c r="U168" s="158">
        <f t="shared" si="38"/>
        <v>0</v>
      </c>
      <c r="V168" s="158">
        <f t="shared" si="38"/>
        <v>-0.44986796294384523</v>
      </c>
      <c r="W168" s="158">
        <f t="shared" si="38"/>
        <v>0</v>
      </c>
      <c r="X168" s="158">
        <f t="shared" si="38"/>
        <v>-202.62033469422434</v>
      </c>
      <c r="Y168" s="158">
        <f t="shared" si="38"/>
        <v>0</v>
      </c>
      <c r="AQ168" s="3"/>
    </row>
    <row r="169" spans="3:43" x14ac:dyDescent="0.25">
      <c r="C169" s="32"/>
      <c r="F169" t="s">
        <v>192</v>
      </c>
      <c r="G169" t="s">
        <v>172</v>
      </c>
      <c r="H169" s="63"/>
      <c r="J169" s="89">
        <f t="shared" ref="J169:Y169" si="39">J143 * (1 - J24)</f>
        <v>0</v>
      </c>
      <c r="K169" s="89">
        <f t="shared" si="39"/>
        <v>0</v>
      </c>
      <c r="L169" s="89">
        <f t="shared" si="39"/>
        <v>0</v>
      </c>
      <c r="M169" s="89">
        <f t="shared" si="39"/>
        <v>0</v>
      </c>
      <c r="N169" s="89">
        <f t="shared" si="39"/>
        <v>0</v>
      </c>
      <c r="O169" s="89">
        <f t="shared" si="39"/>
        <v>0</v>
      </c>
      <c r="P169" s="89">
        <f t="shared" si="39"/>
        <v>0</v>
      </c>
      <c r="Q169" s="89">
        <f t="shared" si="39"/>
        <v>0</v>
      </c>
      <c r="R169" s="89">
        <f t="shared" si="39"/>
        <v>0</v>
      </c>
      <c r="S169" s="89">
        <f t="shared" si="39"/>
        <v>0</v>
      </c>
      <c r="T169" s="89">
        <f t="shared" si="39"/>
        <v>0</v>
      </c>
      <c r="U169" s="89">
        <f t="shared" si="39"/>
        <v>0</v>
      </c>
      <c r="V169" s="89">
        <f t="shared" si="39"/>
        <v>0</v>
      </c>
      <c r="W169" s="89">
        <f t="shared" si="39"/>
        <v>0</v>
      </c>
      <c r="X169" s="89">
        <f t="shared" si="39"/>
        <v>0</v>
      </c>
      <c r="Y169" s="89">
        <f t="shared" si="39"/>
        <v>0</v>
      </c>
      <c r="AQ169" s="3"/>
    </row>
    <row r="170" spans="3:43" x14ac:dyDescent="0.25">
      <c r="C170" s="32"/>
      <c r="F170" t="s">
        <v>193</v>
      </c>
      <c r="G170" t="s">
        <v>172</v>
      </c>
      <c r="H170" s="63"/>
      <c r="J170" s="89">
        <f t="shared" ref="J170:Y170" si="40">J144 * (1 - J25)</f>
        <v>0</v>
      </c>
      <c r="K170" s="89">
        <f t="shared" si="40"/>
        <v>0</v>
      </c>
      <c r="L170" s="89">
        <f t="shared" si="40"/>
        <v>0</v>
      </c>
      <c r="M170" s="89">
        <f t="shared" si="40"/>
        <v>0</v>
      </c>
      <c r="N170" s="89">
        <f t="shared" si="40"/>
        <v>0</v>
      </c>
      <c r="O170" s="89">
        <f t="shared" si="40"/>
        <v>0</v>
      </c>
      <c r="P170" s="89">
        <f t="shared" si="40"/>
        <v>0</v>
      </c>
      <c r="Q170" s="89">
        <f t="shared" si="40"/>
        <v>0</v>
      </c>
      <c r="R170" s="89">
        <f t="shared" si="40"/>
        <v>0</v>
      </c>
      <c r="S170" s="89">
        <f t="shared" si="40"/>
        <v>0</v>
      </c>
      <c r="T170" s="89">
        <f t="shared" si="40"/>
        <v>0</v>
      </c>
      <c r="U170" s="89">
        <f t="shared" si="40"/>
        <v>0</v>
      </c>
      <c r="V170" s="89">
        <f t="shared" si="40"/>
        <v>0</v>
      </c>
      <c r="W170" s="89">
        <f t="shared" si="40"/>
        <v>0</v>
      </c>
      <c r="X170" s="89">
        <f t="shared" si="40"/>
        <v>0</v>
      </c>
      <c r="Y170" s="89">
        <f t="shared" si="40"/>
        <v>0</v>
      </c>
      <c r="AQ170" s="3"/>
    </row>
    <row r="171" spans="3:43" x14ac:dyDescent="0.25">
      <c r="C171" s="32"/>
      <c r="F171" t="s">
        <v>194</v>
      </c>
      <c r="G171" t="s">
        <v>172</v>
      </c>
      <c r="H171" s="63"/>
      <c r="J171" s="89">
        <f t="shared" ref="J171:Y171" si="41">J145 * (1 - J26)</f>
        <v>521.13094028048454</v>
      </c>
      <c r="K171" s="89">
        <f t="shared" si="41"/>
        <v>44.176577912550002</v>
      </c>
      <c r="L171" s="89">
        <f t="shared" si="41"/>
        <v>200.99305163513921</v>
      </c>
      <c r="M171" s="89">
        <f t="shared" si="41"/>
        <v>6.178346712906718</v>
      </c>
      <c r="N171" s="89">
        <f t="shared" si="41"/>
        <v>247.68028044495057</v>
      </c>
      <c r="O171" s="89">
        <f t="shared" si="41"/>
        <v>16.720979778923546</v>
      </c>
      <c r="P171" s="89">
        <f t="shared" si="41"/>
        <v>87.823073830022054</v>
      </c>
      <c r="Q171" s="89">
        <f t="shared" si="41"/>
        <v>13.847559969077567</v>
      </c>
      <c r="R171" s="89">
        <f t="shared" si="41"/>
        <v>-0.85269231814774926</v>
      </c>
      <c r="S171" s="89">
        <f t="shared" si="41"/>
        <v>-4.9524252017330657E-4</v>
      </c>
      <c r="T171" s="89">
        <f t="shared" si="41"/>
        <v>-49.190922751876784</v>
      </c>
      <c r="U171" s="89">
        <f t="shared" si="41"/>
        <v>0</v>
      </c>
      <c r="V171" s="89">
        <f t="shared" si="41"/>
        <v>-0.44005673092250985</v>
      </c>
      <c r="W171" s="89">
        <f t="shared" si="41"/>
        <v>0</v>
      </c>
      <c r="X171" s="89">
        <f t="shared" si="41"/>
        <v>-199.66577433710836</v>
      </c>
      <c r="Y171" s="89">
        <f t="shared" si="41"/>
        <v>0</v>
      </c>
      <c r="AQ171" s="3"/>
    </row>
    <row r="172" spans="3:43" x14ac:dyDescent="0.25">
      <c r="C172" s="32"/>
      <c r="F172" t="s">
        <v>195</v>
      </c>
      <c r="G172" t="s">
        <v>172</v>
      </c>
      <c r="H172" s="63"/>
      <c r="J172" s="89">
        <f t="shared" ref="J172:Y172" si="42">J146 * (1 - J27)</f>
        <v>515.03584156375371</v>
      </c>
      <c r="K172" s="89">
        <f t="shared" si="42"/>
        <v>43.659892790765795</v>
      </c>
      <c r="L172" s="89">
        <f t="shared" si="42"/>
        <v>198.642255709582</v>
      </c>
      <c r="M172" s="89">
        <f t="shared" si="42"/>
        <v>6.1060853478434813</v>
      </c>
      <c r="N172" s="89">
        <f t="shared" si="42"/>
        <v>244.78343505962948</v>
      </c>
      <c r="O172" s="89">
        <f t="shared" si="42"/>
        <v>16.525412763965377</v>
      </c>
      <c r="P172" s="89">
        <f t="shared" si="42"/>
        <v>0</v>
      </c>
      <c r="Q172" s="89">
        <f t="shared" si="42"/>
        <v>13.685600203357364</v>
      </c>
      <c r="R172" s="89">
        <f t="shared" si="42"/>
        <v>-0.84271930857876975</v>
      </c>
      <c r="S172" s="89">
        <f t="shared" si="42"/>
        <v>-4.8945020999584092E-4</v>
      </c>
      <c r="T172" s="89">
        <f t="shared" si="42"/>
        <v>-48.615590322030272</v>
      </c>
      <c r="U172" s="89">
        <f t="shared" si="42"/>
        <v>0</v>
      </c>
      <c r="V172" s="89">
        <f t="shared" si="42"/>
        <v>-0.43490986857253899</v>
      </c>
      <c r="W172" s="89">
        <f t="shared" si="42"/>
        <v>0</v>
      </c>
      <c r="X172" s="89">
        <f t="shared" si="42"/>
        <v>-197.33050212263927</v>
      </c>
      <c r="Y172" s="89">
        <f t="shared" si="42"/>
        <v>0</v>
      </c>
      <c r="AQ172" s="3"/>
    </row>
    <row r="173" spans="3:43" x14ac:dyDescent="0.25">
      <c r="C173" s="32"/>
      <c r="F173" t="s">
        <v>196</v>
      </c>
      <c r="G173" t="s">
        <v>172</v>
      </c>
      <c r="H173" s="63"/>
      <c r="J173" s="89">
        <f t="shared" ref="J173:Y173" si="43">J147 * (1 - J28)</f>
        <v>0</v>
      </c>
      <c r="K173" s="89">
        <f t="shared" si="43"/>
        <v>0</v>
      </c>
      <c r="L173" s="89">
        <f t="shared" si="43"/>
        <v>0</v>
      </c>
      <c r="M173" s="89">
        <f t="shared" si="43"/>
        <v>0</v>
      </c>
      <c r="N173" s="89">
        <f t="shared" si="43"/>
        <v>0</v>
      </c>
      <c r="O173" s="89">
        <f t="shared" si="43"/>
        <v>0</v>
      </c>
      <c r="P173" s="89">
        <f t="shared" si="43"/>
        <v>0</v>
      </c>
      <c r="Q173" s="89">
        <f t="shared" si="43"/>
        <v>0</v>
      </c>
      <c r="R173" s="89">
        <f t="shared" si="43"/>
        <v>0</v>
      </c>
      <c r="S173" s="89">
        <f t="shared" si="43"/>
        <v>0</v>
      </c>
      <c r="T173" s="89">
        <f t="shared" si="43"/>
        <v>0</v>
      </c>
      <c r="U173" s="89">
        <f t="shared" si="43"/>
        <v>0</v>
      </c>
      <c r="V173" s="89">
        <f t="shared" si="43"/>
        <v>0</v>
      </c>
      <c r="W173" s="89">
        <f t="shared" si="43"/>
        <v>0</v>
      </c>
      <c r="X173" s="89">
        <f t="shared" si="43"/>
        <v>0</v>
      </c>
      <c r="Y173" s="89">
        <f t="shared" si="43"/>
        <v>0</v>
      </c>
      <c r="AQ173" s="3"/>
    </row>
    <row r="174" spans="3:43" x14ac:dyDescent="0.25">
      <c r="C174" s="32"/>
      <c r="F174" t="s">
        <v>197</v>
      </c>
      <c r="G174" t="s">
        <v>172</v>
      </c>
      <c r="H174" s="63"/>
      <c r="J174" s="89">
        <f t="shared" ref="J174:Y174" si="44">J148 * (1 - J29)</f>
        <v>510.06445313167114</v>
      </c>
      <c r="K174" s="89">
        <f t="shared" si="44"/>
        <v>43.238465254175395</v>
      </c>
      <c r="L174" s="89">
        <f t="shared" si="44"/>
        <v>196.72485941894899</v>
      </c>
      <c r="M174" s="89">
        <f t="shared" si="44"/>
        <v>6.0471463000843739</v>
      </c>
      <c r="N174" s="89">
        <f t="shared" si="44"/>
        <v>193.93652847195358</v>
      </c>
      <c r="O174" s="89">
        <f t="shared" si="44"/>
        <v>0</v>
      </c>
      <c r="P174" s="89">
        <f t="shared" si="44"/>
        <v>0</v>
      </c>
      <c r="Q174" s="89">
        <f t="shared" si="44"/>
        <v>13.553499815294067</v>
      </c>
      <c r="R174" s="89">
        <f t="shared" si="44"/>
        <v>-0.83458495231835694</v>
      </c>
      <c r="S174" s="89">
        <f t="shared" si="44"/>
        <v>-4.8472578711943325E-4</v>
      </c>
      <c r="T174" s="89">
        <f t="shared" si="44"/>
        <v>-48.146327867184425</v>
      </c>
      <c r="U174" s="89">
        <f t="shared" si="44"/>
        <v>0</v>
      </c>
      <c r="V174" s="89">
        <f t="shared" si="44"/>
        <v>-0.43071189686817091</v>
      </c>
      <c r="W174" s="89">
        <f t="shared" si="44"/>
        <v>0</v>
      </c>
      <c r="X174" s="89">
        <f t="shared" si="44"/>
        <v>0</v>
      </c>
      <c r="Y174" s="89">
        <f t="shared" si="44"/>
        <v>0</v>
      </c>
      <c r="AQ174" s="3"/>
    </row>
    <row r="175" spans="3:43" x14ac:dyDescent="0.25">
      <c r="C175" s="32"/>
      <c r="F175" t="s">
        <v>198</v>
      </c>
      <c r="G175" t="s">
        <v>172</v>
      </c>
      <c r="H175" s="63"/>
      <c r="J175" s="89">
        <f t="shared" ref="J175:Y175" si="45">J149 * (1 - J30)</f>
        <v>498.98656604760276</v>
      </c>
      <c r="K175" s="89">
        <f t="shared" si="45"/>
        <v>42.299386216549301</v>
      </c>
      <c r="L175" s="89">
        <f t="shared" si="45"/>
        <v>192.45227040418428</v>
      </c>
      <c r="M175" s="89">
        <f t="shared" si="45"/>
        <v>5.915810733604733</v>
      </c>
      <c r="N175" s="89">
        <f t="shared" si="45"/>
        <v>0</v>
      </c>
      <c r="O175" s="89">
        <f t="shared" si="45"/>
        <v>0</v>
      </c>
      <c r="P175" s="89">
        <f t="shared" si="45"/>
        <v>0</v>
      </c>
      <c r="Q175" s="89">
        <f t="shared" si="45"/>
        <v>13.259136740929797</v>
      </c>
      <c r="R175" s="89">
        <f t="shared" si="45"/>
        <v>-0.8164589335239073</v>
      </c>
      <c r="S175" s="89">
        <f t="shared" si="45"/>
        <v>0</v>
      </c>
      <c r="T175" s="89">
        <f t="shared" si="45"/>
        <v>-47.100656912561917</v>
      </c>
      <c r="U175" s="89">
        <f t="shared" si="45"/>
        <v>0</v>
      </c>
      <c r="V175" s="89">
        <f t="shared" si="45"/>
        <v>0</v>
      </c>
      <c r="W175" s="89">
        <f t="shared" si="45"/>
        <v>0</v>
      </c>
      <c r="X175" s="89">
        <f t="shared" si="45"/>
        <v>0</v>
      </c>
      <c r="Y175" s="89">
        <f t="shared" si="45"/>
        <v>0</v>
      </c>
      <c r="AQ175" s="3"/>
    </row>
    <row r="176" spans="3:43" x14ac:dyDescent="0.25">
      <c r="C176" s="32"/>
      <c r="F176" s="37" t="s">
        <v>199</v>
      </c>
      <c r="G176" s="37" t="s">
        <v>172</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12.846684179912767</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25">
      <c r="C177" s="32"/>
      <c r="F177" s="108" t="s">
        <v>100</v>
      </c>
      <c r="G177" s="108" t="s">
        <v>172</v>
      </c>
      <c r="H177" s="168"/>
      <c r="I177" s="108"/>
      <c r="J177" s="167">
        <f t="shared" ref="J177:Y177" si="47">SUM(J168:J176)</f>
        <v>2582.4134428979842</v>
      </c>
      <c r="K177" s="167">
        <f t="shared" si="47"/>
        <v>215.39524902517991</v>
      </c>
      <c r="L177" s="167">
        <f t="shared" si="47"/>
        <v>994.23632793166348</v>
      </c>
      <c r="M177" s="167">
        <f t="shared" si="47"/>
        <v>30.507086070191068</v>
      </c>
      <c r="N177" s="167">
        <f t="shared" si="47"/>
        <v>939.01140312691973</v>
      </c>
      <c r="O177" s="167">
        <f t="shared" si="47"/>
        <v>50.22792491310561</v>
      </c>
      <c r="P177" s="167">
        <f t="shared" si="47"/>
        <v>199.48886992368773</v>
      </c>
      <c r="Q177" s="167">
        <f t="shared" si="47"/>
        <v>81.930495056910715</v>
      </c>
      <c r="R177" s="167">
        <f t="shared" si="47"/>
        <v>-4.2228195721860917</v>
      </c>
      <c r="S177" s="167">
        <f t="shared" si="47"/>
        <v>-1.9795681705162571E-3</v>
      </c>
      <c r="T177" s="167">
        <f t="shared" si="47"/>
        <v>-242.76416590617191</v>
      </c>
      <c r="U177" s="167">
        <f t="shared" si="47"/>
        <v>0</v>
      </c>
      <c r="V177" s="167">
        <f t="shared" si="47"/>
        <v>-1.7555464593070651</v>
      </c>
      <c r="W177" s="167">
        <f t="shared" si="47"/>
        <v>0</v>
      </c>
      <c r="X177" s="167">
        <f t="shared" si="47"/>
        <v>-599.61661115397192</v>
      </c>
      <c r="Y177" s="167">
        <f t="shared" si="47"/>
        <v>0</v>
      </c>
      <c r="AQ177" s="3"/>
    </row>
    <row r="178" spans="2:43" x14ac:dyDescent="0.25">
      <c r="H178" s="166"/>
    </row>
    <row r="179" spans="2:43" x14ac:dyDescent="0.25">
      <c r="B179" s="30" t="s">
        <v>523</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25">
      <c r="C180" s="32"/>
      <c r="J180" s="63"/>
      <c r="K180" s="63"/>
      <c r="L180" s="63"/>
      <c r="M180" s="63"/>
      <c r="N180" s="63"/>
      <c r="O180" s="63"/>
      <c r="P180" s="63"/>
      <c r="Q180" s="63"/>
      <c r="R180" s="63"/>
      <c r="S180" s="63"/>
      <c r="T180" s="63"/>
      <c r="U180" s="63"/>
      <c r="V180" s="63"/>
      <c r="W180" s="63"/>
      <c r="X180" s="63"/>
      <c r="Y180" s="63"/>
      <c r="AQ180" s="3"/>
    </row>
    <row r="181" spans="2:43" x14ac:dyDescent="0.25">
      <c r="C181" s="29" t="s">
        <v>524</v>
      </c>
      <c r="J181" s="63"/>
      <c r="K181" s="63"/>
      <c r="L181" s="63"/>
      <c r="M181" s="63"/>
      <c r="N181" s="63"/>
      <c r="O181" s="63"/>
      <c r="P181" s="63"/>
      <c r="Q181" s="63"/>
      <c r="R181" s="63"/>
      <c r="S181" s="63"/>
      <c r="T181" s="63"/>
      <c r="U181" s="63"/>
      <c r="V181" s="63"/>
      <c r="W181" s="63"/>
      <c r="X181" s="63"/>
      <c r="Y181" s="63"/>
      <c r="AQ181" s="3"/>
    </row>
    <row r="182" spans="2:43" x14ac:dyDescent="0.25">
      <c r="C182" s="29" t="s">
        <v>525</v>
      </c>
      <c r="J182" s="63"/>
      <c r="K182" s="63"/>
      <c r="L182" s="63"/>
      <c r="M182" s="63"/>
      <c r="N182" s="63"/>
      <c r="O182" s="63"/>
      <c r="P182" s="63"/>
      <c r="Q182" s="63"/>
      <c r="R182" s="63"/>
      <c r="S182" s="63"/>
      <c r="T182" s="63"/>
      <c r="U182" s="63"/>
      <c r="V182" s="63"/>
      <c r="W182" s="63"/>
      <c r="X182" s="63"/>
      <c r="Y182" s="63"/>
      <c r="AQ182" s="3"/>
    </row>
    <row r="183" spans="2:43" x14ac:dyDescent="0.25">
      <c r="C183" s="32"/>
      <c r="J183" s="63"/>
      <c r="K183" s="63"/>
      <c r="L183" s="63"/>
      <c r="M183" s="63"/>
      <c r="N183" s="63"/>
      <c r="O183" s="63"/>
      <c r="P183" s="63"/>
      <c r="Q183" s="63"/>
      <c r="R183" s="63"/>
      <c r="S183" s="63"/>
      <c r="T183" s="63"/>
      <c r="U183" s="63"/>
      <c r="V183" s="63"/>
      <c r="W183" s="63"/>
      <c r="X183" s="63"/>
      <c r="Y183" s="63"/>
      <c r="AQ183" s="3"/>
    </row>
    <row r="184" spans="2:43" x14ac:dyDescent="0.25">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25">
      <c r="C185" s="32"/>
      <c r="J185" s="63"/>
      <c r="K185" s="63"/>
      <c r="L185" s="63"/>
      <c r="M185" s="63"/>
      <c r="N185" s="63"/>
      <c r="O185" s="63"/>
      <c r="P185" s="63"/>
      <c r="Q185" s="63"/>
      <c r="R185" s="63"/>
      <c r="S185" s="63"/>
      <c r="T185" s="63"/>
      <c r="U185" s="63"/>
      <c r="V185" s="63"/>
      <c r="W185" s="63"/>
      <c r="X185" s="63"/>
      <c r="Y185" s="63"/>
      <c r="AQ185" s="3"/>
    </row>
    <row r="186" spans="2:43" x14ac:dyDescent="0.25">
      <c r="D186" s="29" t="s">
        <v>526</v>
      </c>
      <c r="E186" s="29"/>
      <c r="J186" s="63"/>
      <c r="K186" s="63"/>
      <c r="L186" s="63"/>
      <c r="M186" s="63"/>
      <c r="N186" s="63"/>
      <c r="O186" s="63"/>
      <c r="P186" s="63"/>
      <c r="Q186" s="63"/>
      <c r="R186" s="63"/>
      <c r="S186" s="63"/>
      <c r="T186" s="63"/>
      <c r="U186" s="63"/>
      <c r="V186" s="63"/>
      <c r="W186" s="63"/>
      <c r="X186" s="63"/>
      <c r="Y186" s="63"/>
      <c r="AQ186" s="3"/>
    </row>
    <row r="187" spans="2:43" x14ac:dyDescent="0.25">
      <c r="J187" s="63"/>
      <c r="K187" s="63"/>
      <c r="L187" s="63"/>
      <c r="M187" s="63"/>
      <c r="N187" s="63"/>
      <c r="O187" s="63"/>
      <c r="P187" s="63"/>
      <c r="Q187" s="63"/>
      <c r="R187" s="63"/>
      <c r="S187" s="63"/>
      <c r="T187" s="63"/>
      <c r="U187" s="63"/>
      <c r="V187" s="63"/>
      <c r="W187" s="63"/>
      <c r="X187" s="63"/>
      <c r="Y187" s="63"/>
      <c r="AQ187" s="3"/>
    </row>
    <row r="188" spans="2:43" x14ac:dyDescent="0.25">
      <c r="C188" s="32"/>
      <c r="E188" t="s">
        <v>250</v>
      </c>
      <c r="G188" t="s">
        <v>251</v>
      </c>
      <c r="J188" s="120">
        <f>'Volume adjustments'!J114</f>
        <v>0</v>
      </c>
      <c r="K188" s="120">
        <f>'Volume adjustments'!K114</f>
        <v>0</v>
      </c>
      <c r="L188" s="120">
        <f>'Volume adjustments'!L114</f>
        <v>0</v>
      </c>
      <c r="M188" s="120">
        <f>'Volume adjustments'!M114</f>
        <v>0</v>
      </c>
      <c r="N188" s="120">
        <f>'Volume adjustments'!N114</f>
        <v>872379.33373795042</v>
      </c>
      <c r="O188" s="120">
        <f>'Volume adjustments'!O114</f>
        <v>34023.586342600902</v>
      </c>
      <c r="P188" s="120">
        <f>'Volume adjustments'!P114</f>
        <v>409616.60927004361</v>
      </c>
      <c r="Q188" s="120">
        <f>'Volume adjustments'!Q114</f>
        <v>0</v>
      </c>
      <c r="R188" s="120">
        <f>'Volume adjustments'!R114</f>
        <v>0</v>
      </c>
      <c r="S188" s="120">
        <f>'Volume adjustments'!S114</f>
        <v>0</v>
      </c>
      <c r="T188" s="120">
        <f>'Volume adjustments'!T114</f>
        <v>0</v>
      </c>
      <c r="U188" s="120">
        <f>'Volume adjustments'!U114</f>
        <v>0</v>
      </c>
      <c r="V188" s="120">
        <f>'Volume adjustments'!V114</f>
        <v>0</v>
      </c>
      <c r="W188" s="120">
        <f>'Volume adjustments'!W114</f>
        <v>0</v>
      </c>
      <c r="X188" s="120">
        <f>'Volume adjustments'!X114</f>
        <v>0</v>
      </c>
      <c r="Y188" s="120">
        <f>'Volume adjustments'!Y114</f>
        <v>0</v>
      </c>
      <c r="AQ188" s="3"/>
    </row>
    <row r="189" spans="2:43" x14ac:dyDescent="0.25">
      <c r="C189" s="32"/>
      <c r="E189" t="s">
        <v>252</v>
      </c>
      <c r="G189" t="s">
        <v>251</v>
      </c>
      <c r="J189" s="120">
        <f>'Volume adjustments'!J125</f>
        <v>0</v>
      </c>
      <c r="K189" s="120">
        <f>'Volume adjustments'!K125</f>
        <v>0</v>
      </c>
      <c r="L189" s="120">
        <f>'Volume adjustments'!L125</f>
        <v>0</v>
      </c>
      <c r="M189" s="120">
        <f>'Volume adjustments'!M125</f>
        <v>0</v>
      </c>
      <c r="N189" s="120">
        <f>'Volume adjustments'!N125</f>
        <v>20525.648946439502</v>
      </c>
      <c r="O189" s="120">
        <f>'Volume adjustments'!O125</f>
        <v>1172.4448121461803</v>
      </c>
      <c r="P189" s="120">
        <f>'Volume adjustments'!P125</f>
        <v>8108.4019897747849</v>
      </c>
      <c r="Q189" s="120">
        <f>'Volume adjustments'!Q125</f>
        <v>0</v>
      </c>
      <c r="R189" s="120">
        <f>'Volume adjustments'!R125</f>
        <v>0</v>
      </c>
      <c r="S189" s="120">
        <f>'Volume adjustments'!S125</f>
        <v>0</v>
      </c>
      <c r="T189" s="120">
        <f>'Volume adjustments'!T125</f>
        <v>0</v>
      </c>
      <c r="U189" s="120">
        <f>'Volume adjustments'!U125</f>
        <v>0</v>
      </c>
      <c r="V189" s="120">
        <f>'Volume adjustments'!V125</f>
        <v>0</v>
      </c>
      <c r="W189" s="120">
        <f>'Volume adjustments'!W125</f>
        <v>0</v>
      </c>
      <c r="X189" s="120">
        <f>'Volume adjustments'!X125</f>
        <v>0</v>
      </c>
      <c r="Y189" s="120">
        <f>'Volume adjustments'!Y125</f>
        <v>0</v>
      </c>
      <c r="AQ189" s="3"/>
    </row>
    <row r="190" spans="2:43" x14ac:dyDescent="0.25">
      <c r="C190" s="32"/>
      <c r="J190" s="120"/>
      <c r="K190" s="120"/>
      <c r="L190" s="120"/>
      <c r="M190" s="120"/>
      <c r="N190" s="120"/>
      <c r="O190" s="120"/>
      <c r="P190" s="120"/>
      <c r="Q190" s="120"/>
      <c r="R190" s="120"/>
      <c r="S190" s="120"/>
      <c r="T190" s="120"/>
      <c r="U190" s="120"/>
      <c r="V190" s="120"/>
      <c r="W190" s="120"/>
      <c r="X190" s="120"/>
      <c r="Y190" s="120"/>
      <c r="AQ190" s="3"/>
    </row>
    <row r="191" spans="2:43" x14ac:dyDescent="0.25">
      <c r="C191" s="32"/>
      <c r="E191" t="s">
        <v>527</v>
      </c>
      <c r="G191" t="s">
        <v>251</v>
      </c>
      <c r="J191" s="89">
        <f t="shared" ref="J191:Y191" si="48">SUM(J188:J189)</f>
        <v>0</v>
      </c>
      <c r="K191" s="89">
        <f t="shared" si="48"/>
        <v>0</v>
      </c>
      <c r="L191" s="89">
        <f t="shared" si="48"/>
        <v>0</v>
      </c>
      <c r="M191" s="89">
        <f t="shared" si="48"/>
        <v>0</v>
      </c>
      <c r="N191" s="89">
        <f t="shared" si="48"/>
        <v>892904.98268438992</v>
      </c>
      <c r="O191" s="89">
        <f t="shared" si="48"/>
        <v>35196.031154747085</v>
      </c>
      <c r="P191" s="89">
        <f t="shared" si="48"/>
        <v>417725.01125981839</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25">
      <c r="C192" s="32"/>
      <c r="E192" t="s">
        <v>528</v>
      </c>
      <c r="G192" t="s">
        <v>172</v>
      </c>
      <c r="J192" s="89">
        <f t="shared" ref="J192:Y192" si="49">J191 * PowerFactor / thousand</f>
        <v>0</v>
      </c>
      <c r="K192" s="89">
        <f t="shared" si="49"/>
        <v>0</v>
      </c>
      <c r="L192" s="89">
        <f t="shared" si="49"/>
        <v>0</v>
      </c>
      <c r="M192" s="89">
        <f t="shared" si="49"/>
        <v>0</v>
      </c>
      <c r="N192" s="89">
        <f t="shared" si="49"/>
        <v>848.25973355017038</v>
      </c>
      <c r="O192" s="89">
        <f t="shared" si="49"/>
        <v>33.436229597009728</v>
      </c>
      <c r="P192" s="89">
        <f t="shared" si="49"/>
        <v>396.83876069682742</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25">
      <c r="C193" s="32"/>
      <c r="J193" s="63"/>
      <c r="K193" s="63"/>
      <c r="L193" s="63"/>
      <c r="M193" s="63"/>
      <c r="N193" s="63"/>
      <c r="O193" s="63"/>
      <c r="P193" s="63"/>
      <c r="Q193" s="63"/>
      <c r="R193" s="63"/>
      <c r="S193" s="63"/>
      <c r="T193" s="63"/>
      <c r="U193" s="63"/>
      <c r="V193" s="63"/>
      <c r="W193" s="63"/>
      <c r="X193" s="63"/>
      <c r="Y193" s="63"/>
      <c r="AQ193" s="3"/>
    </row>
    <row r="194" spans="3:43" x14ac:dyDescent="0.25">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25">
      <c r="C195" s="32"/>
      <c r="J195" s="63"/>
      <c r="K195" s="63"/>
      <c r="L195" s="63"/>
      <c r="M195" s="63"/>
      <c r="N195" s="63"/>
      <c r="O195" s="63"/>
      <c r="P195" s="63"/>
      <c r="Q195" s="63"/>
      <c r="R195" s="63"/>
      <c r="S195" s="63"/>
      <c r="T195" s="63"/>
      <c r="U195" s="63"/>
      <c r="V195" s="63"/>
      <c r="W195" s="63"/>
      <c r="X195" s="63"/>
      <c r="Y195" s="63"/>
      <c r="AQ195" s="3"/>
    </row>
    <row r="196" spans="3:43" x14ac:dyDescent="0.25">
      <c r="C196" s="32"/>
      <c r="D196" s="29" t="s">
        <v>529</v>
      </c>
      <c r="J196" s="63"/>
      <c r="K196" s="63"/>
      <c r="L196" s="63"/>
      <c r="M196" s="63"/>
      <c r="N196" s="63"/>
      <c r="O196" s="63"/>
      <c r="P196" s="63"/>
      <c r="Q196" s="63"/>
      <c r="R196" s="63"/>
      <c r="S196" s="63"/>
      <c r="T196" s="63"/>
      <c r="U196" s="63"/>
      <c r="V196" s="63"/>
      <c r="W196" s="63"/>
      <c r="X196" s="63"/>
      <c r="Y196" s="63"/>
      <c r="AQ196" s="3"/>
    </row>
    <row r="197" spans="3:43" x14ac:dyDescent="0.25">
      <c r="D197" s="32"/>
      <c r="J197" s="63"/>
      <c r="K197" s="63"/>
      <c r="L197" s="63"/>
      <c r="M197" s="63"/>
      <c r="N197" s="63"/>
      <c r="O197" s="63"/>
      <c r="P197" s="63"/>
      <c r="Q197" s="63"/>
      <c r="R197" s="63"/>
      <c r="S197" s="63"/>
      <c r="T197" s="63"/>
      <c r="U197" s="63"/>
      <c r="V197" s="63"/>
      <c r="W197" s="63"/>
      <c r="X197" s="63"/>
      <c r="Y197" s="63"/>
      <c r="AQ197" s="3"/>
    </row>
    <row r="198" spans="3:43" x14ac:dyDescent="0.25">
      <c r="E198" t="s">
        <v>221</v>
      </c>
      <c r="G198" t="s">
        <v>209</v>
      </c>
      <c r="H198" s="166"/>
      <c r="I198" t="s">
        <v>154</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530</v>
      </c>
    </row>
    <row r="199" spans="3:43" x14ac:dyDescent="0.25">
      <c r="D199" s="32"/>
      <c r="H199" s="170"/>
      <c r="J199" s="63"/>
      <c r="L199" s="63"/>
      <c r="AQ199" s="3"/>
    </row>
    <row r="200" spans="3:43" x14ac:dyDescent="0.25">
      <c r="C200" s="32"/>
      <c r="E200" t="s">
        <v>531</v>
      </c>
      <c r="G200" t="s">
        <v>172</v>
      </c>
      <c r="H200" s="63"/>
      <c r="I200" t="s">
        <v>154</v>
      </c>
      <c r="J200" s="121">
        <f t="shared" ref="J200:Q200" si="50">IF(J61 = 0, 0, J59 / (hours_in_year * J61))</f>
        <v>686.27857053072728</v>
      </c>
      <c r="K200" s="121">
        <f t="shared" si="50"/>
        <v>230.78406952669062</v>
      </c>
      <c r="L200" s="121">
        <f t="shared" si="50"/>
        <v>267.71956108527553</v>
      </c>
      <c r="M200" s="121">
        <f t="shared" si="50"/>
        <v>18.268212375416237</v>
      </c>
      <c r="N200" s="121">
        <f t="shared" si="50"/>
        <v>287.57695641980018</v>
      </c>
      <c r="O200" s="121">
        <f t="shared" si="50"/>
        <v>19.529194835466289</v>
      </c>
      <c r="P200" s="121">
        <f t="shared" si="50"/>
        <v>131.59898850066523</v>
      </c>
      <c r="Q200" s="121">
        <f t="shared" si="50"/>
        <v>22.114180842603563</v>
      </c>
      <c r="R200" s="77"/>
      <c r="S200" s="77"/>
      <c r="T200" s="77"/>
      <c r="U200" s="77"/>
      <c r="V200" s="77"/>
      <c r="W200" s="77"/>
      <c r="X200" s="77"/>
      <c r="Y200" s="77"/>
      <c r="AA200" t="s">
        <v>530</v>
      </c>
      <c r="AQ200" s="3"/>
    </row>
    <row r="201" spans="3:43" x14ac:dyDescent="0.25">
      <c r="C201" s="32"/>
      <c r="H201" s="63"/>
      <c r="J201" s="89"/>
      <c r="K201" s="89"/>
      <c r="L201" s="89"/>
      <c r="M201" s="89"/>
      <c r="N201" s="89"/>
      <c r="O201" s="89"/>
      <c r="P201" s="89"/>
      <c r="Q201" s="89"/>
      <c r="R201" s="63"/>
      <c r="S201" s="63"/>
      <c r="T201" s="63"/>
      <c r="U201" s="63"/>
      <c r="V201" s="63"/>
      <c r="W201" s="63"/>
      <c r="X201" s="63"/>
      <c r="Y201" s="63"/>
      <c r="AQ201" s="3"/>
    </row>
    <row r="202" spans="3:43" x14ac:dyDescent="0.25">
      <c r="E202" t="s">
        <v>532</v>
      </c>
      <c r="G202" t="s">
        <v>172</v>
      </c>
      <c r="H202" s="63"/>
      <c r="I202" t="s">
        <v>154</v>
      </c>
      <c r="J202" s="89">
        <f t="shared" ref="J202:Y202" si="51">J192 * J42 / $H53</f>
        <v>0</v>
      </c>
      <c r="K202" s="89">
        <f t="shared" si="51"/>
        <v>0</v>
      </c>
      <c r="L202" s="89">
        <f t="shared" si="51"/>
        <v>0</v>
      </c>
      <c r="M202" s="89">
        <f t="shared" si="51"/>
        <v>0</v>
      </c>
      <c r="N202" s="89">
        <f t="shared" si="51"/>
        <v>848.25973355017038</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530</v>
      </c>
    </row>
    <row r="203" spans="3:43" x14ac:dyDescent="0.25">
      <c r="H203" s="63"/>
      <c r="J203" s="89"/>
      <c r="K203" s="89"/>
      <c r="L203" s="89"/>
      <c r="M203" s="89"/>
      <c r="N203" s="89"/>
      <c r="O203" s="89"/>
      <c r="P203" s="89"/>
      <c r="Q203" s="89"/>
      <c r="R203" s="89"/>
      <c r="S203" s="89"/>
      <c r="T203" s="89"/>
      <c r="U203" s="89"/>
      <c r="V203" s="89"/>
      <c r="W203" s="89"/>
      <c r="X203" s="89"/>
      <c r="Y203" s="89"/>
    </row>
    <row r="204" spans="3:43" x14ac:dyDescent="0.25">
      <c r="E204" t="s">
        <v>533</v>
      </c>
      <c r="G204" t="s">
        <v>172</v>
      </c>
      <c r="H204" s="63"/>
      <c r="J204" s="89">
        <f t="shared" ref="J204:Y204" si="52">IF(J198, J$200 * J42 / $H53, 0)</f>
        <v>686.27857053072728</v>
      </c>
      <c r="K204" s="89">
        <f t="shared" si="52"/>
        <v>0</v>
      </c>
      <c r="L204" s="89">
        <f t="shared" si="52"/>
        <v>267.71956108527553</v>
      </c>
      <c r="M204" s="89">
        <f t="shared" si="52"/>
        <v>0</v>
      </c>
      <c r="N204" s="89">
        <f t="shared" si="52"/>
        <v>287.57695641980018</v>
      </c>
      <c r="O204" s="89">
        <f t="shared" si="52"/>
        <v>0</v>
      </c>
      <c r="P204" s="89">
        <f t="shared" si="52"/>
        <v>0</v>
      </c>
      <c r="Q204" s="89">
        <f t="shared" si="52"/>
        <v>22.114180842603563</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25">
      <c r="H205" s="63"/>
      <c r="J205" s="89"/>
      <c r="K205" s="89"/>
      <c r="L205" s="89"/>
      <c r="M205" s="89"/>
      <c r="N205" s="89"/>
      <c r="O205" s="89"/>
      <c r="P205" s="89"/>
      <c r="Q205" s="89"/>
      <c r="R205" s="89"/>
      <c r="S205" s="89"/>
      <c r="T205" s="89"/>
      <c r="U205" s="89"/>
      <c r="V205" s="89"/>
      <c r="W205" s="89"/>
      <c r="X205" s="89"/>
      <c r="Y205" s="89"/>
    </row>
    <row r="206" spans="3:43" x14ac:dyDescent="0.25">
      <c r="E206" t="s">
        <v>534</v>
      </c>
      <c r="G206" t="s">
        <v>172</v>
      </c>
      <c r="H206" s="63"/>
      <c r="J206" s="89">
        <f t="shared" ref="J206:Y206" si="53">IF(J202 = 0, J204, J202)</f>
        <v>686.27857053072728</v>
      </c>
      <c r="K206" s="89">
        <f t="shared" si="53"/>
        <v>0</v>
      </c>
      <c r="L206" s="89">
        <f t="shared" si="53"/>
        <v>267.71956108527553</v>
      </c>
      <c r="M206" s="89">
        <f t="shared" si="53"/>
        <v>0</v>
      </c>
      <c r="N206" s="89">
        <f t="shared" si="53"/>
        <v>848.25973355017038</v>
      </c>
      <c r="O206" s="89">
        <f t="shared" si="53"/>
        <v>0</v>
      </c>
      <c r="P206" s="89">
        <f t="shared" si="53"/>
        <v>0</v>
      </c>
      <c r="Q206" s="89">
        <f t="shared" si="53"/>
        <v>22.114180842603563</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25">
      <c r="H207" s="63"/>
      <c r="J207" s="89"/>
      <c r="K207" s="89"/>
      <c r="L207" s="89"/>
      <c r="M207" s="89"/>
      <c r="N207" s="89"/>
      <c r="O207" s="89"/>
      <c r="P207" s="89"/>
      <c r="Q207" s="89"/>
      <c r="R207" s="89"/>
      <c r="S207" s="89"/>
      <c r="T207" s="89"/>
      <c r="U207" s="89"/>
      <c r="V207" s="89"/>
      <c r="W207" s="89"/>
      <c r="X207" s="89"/>
      <c r="Y207" s="89"/>
    </row>
    <row r="208" spans="3:43" x14ac:dyDescent="0.25">
      <c r="E208" t="s">
        <v>535</v>
      </c>
      <c r="G208" t="s">
        <v>172</v>
      </c>
      <c r="H208" s="63"/>
      <c r="I208" t="s">
        <v>154</v>
      </c>
      <c r="J208" s="89">
        <f t="shared" ref="J208:Y208" si="54">J150</f>
        <v>483.46456856762245</v>
      </c>
      <c r="K208" s="89">
        <f t="shared" si="54"/>
        <v>40.983577313198268</v>
      </c>
      <c r="L208" s="89">
        <f t="shared" si="54"/>
        <v>186.46564900094344</v>
      </c>
      <c r="M208" s="89">
        <f t="shared" si="54"/>
        <v>5.731787343904311</v>
      </c>
      <c r="N208" s="89">
        <f t="shared" si="54"/>
        <v>229.77841205048477</v>
      </c>
      <c r="O208" s="89">
        <f t="shared" si="54"/>
        <v>0</v>
      </c>
      <c r="P208" s="89">
        <f t="shared" si="54"/>
        <v>0</v>
      </c>
      <c r="Q208" s="89">
        <f t="shared" si="54"/>
        <v>12.846684179912767</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530</v>
      </c>
    </row>
    <row r="209" spans="5:43" x14ac:dyDescent="0.25">
      <c r="H209" s="63"/>
      <c r="J209" s="63"/>
      <c r="K209" s="63"/>
      <c r="L209" s="63"/>
      <c r="M209" s="63"/>
      <c r="N209" s="63"/>
      <c r="O209" s="63"/>
      <c r="P209" s="63"/>
      <c r="Q209" s="63"/>
      <c r="R209" s="63"/>
      <c r="S209" s="63"/>
      <c r="T209" s="63"/>
      <c r="U209" s="63"/>
      <c r="V209" s="63"/>
      <c r="W209" s="63"/>
      <c r="X209" s="63"/>
      <c r="Y209" s="63"/>
    </row>
    <row r="210" spans="5:43" x14ac:dyDescent="0.25">
      <c r="E210" t="s">
        <v>536</v>
      </c>
      <c r="G210" t="s">
        <v>167</v>
      </c>
      <c r="H210" s="171">
        <f>SUM(J206:Y206) / SUM(J208:Y208) - 1</f>
        <v>0.9018323888989086</v>
      </c>
      <c r="J210" s="63"/>
      <c r="K210" s="63"/>
      <c r="L210" s="63"/>
      <c r="M210" s="63"/>
      <c r="N210" s="63"/>
      <c r="O210" s="63"/>
      <c r="P210" s="63"/>
      <c r="Q210" s="63"/>
      <c r="R210" s="63"/>
      <c r="S210" s="63"/>
      <c r="T210" s="63"/>
      <c r="U210" s="63"/>
      <c r="V210" s="63"/>
      <c r="W210" s="63"/>
      <c r="X210" s="63"/>
      <c r="Y210" s="63"/>
    </row>
    <row r="211" spans="5:43" x14ac:dyDescent="0.25">
      <c r="H211" s="166"/>
    </row>
    <row r="212" spans="5:43" x14ac:dyDescent="0.25">
      <c r="E212" s="32" t="s">
        <v>390</v>
      </c>
      <c r="J212" s="63"/>
      <c r="L212" s="63"/>
      <c r="AA212" t="s">
        <v>530</v>
      </c>
      <c r="AQ212" s="3"/>
    </row>
    <row r="213" spans="5:43" x14ac:dyDescent="0.25">
      <c r="E213" s="29" t="s">
        <v>537</v>
      </c>
      <c r="F213" s="29"/>
      <c r="J213" s="63"/>
      <c r="L213" s="63"/>
      <c r="AQ213" s="3"/>
    </row>
    <row r="214" spans="5:43" x14ac:dyDescent="0.25">
      <c r="E214" s="32"/>
      <c r="F214" s="23" t="s">
        <v>191</v>
      </c>
      <c r="G214" s="23" t="s">
        <v>167</v>
      </c>
      <c r="H214" s="107">
        <f t="array" ref="H214:H222">TRANSPOSE('Load &amp; loss characteristics'!K23:S23)</f>
        <v>4.8999999999999932E-2</v>
      </c>
      <c r="J214" s="63"/>
      <c r="K214" s="84"/>
      <c r="L214" s="63"/>
      <c r="M214" s="84"/>
      <c r="AQ214" s="3"/>
    </row>
    <row r="215" spans="5:43" x14ac:dyDescent="0.25">
      <c r="E215" s="32"/>
      <c r="F215" t="s">
        <v>192</v>
      </c>
      <c r="G215" t="s">
        <v>167</v>
      </c>
      <c r="H215" s="25">
        <v>4.8999999999999932E-2</v>
      </c>
      <c r="J215" s="63"/>
      <c r="L215" s="63"/>
      <c r="AQ215" s="3"/>
    </row>
    <row r="216" spans="5:43" x14ac:dyDescent="0.25">
      <c r="E216" s="32"/>
      <c r="F216" t="s">
        <v>193</v>
      </c>
      <c r="G216" t="s">
        <v>167</v>
      </c>
      <c r="H216" s="25">
        <v>4.8999999999999932E-2</v>
      </c>
      <c r="J216" s="63"/>
      <c r="L216" s="63"/>
      <c r="AQ216" s="3"/>
    </row>
    <row r="217" spans="5:43" x14ac:dyDescent="0.25">
      <c r="E217" s="32"/>
      <c r="F217" t="s">
        <v>194</v>
      </c>
      <c r="G217" t="s">
        <v>167</v>
      </c>
      <c r="H217" s="25">
        <v>0.14058818999999989</v>
      </c>
      <c r="J217" s="63"/>
      <c r="L217" s="63"/>
      <c r="AQ217" s="3"/>
    </row>
    <row r="218" spans="5:43" x14ac:dyDescent="0.25">
      <c r="E218" s="32"/>
      <c r="F218" t="s">
        <v>195</v>
      </c>
      <c r="G218" t="s">
        <v>167</v>
      </c>
      <c r="H218" s="25">
        <v>0.14058818999999989</v>
      </c>
      <c r="J218" s="63"/>
      <c r="L218" s="63"/>
      <c r="AQ218" s="3"/>
    </row>
    <row r="219" spans="5:43" x14ac:dyDescent="0.25">
      <c r="E219" s="32"/>
      <c r="F219" t="s">
        <v>196</v>
      </c>
      <c r="G219" t="s">
        <v>167</v>
      </c>
      <c r="H219" s="25">
        <v>4.8999999999999932E-2</v>
      </c>
      <c r="J219" s="63"/>
      <c r="L219" s="63"/>
      <c r="AQ219" s="3"/>
    </row>
    <row r="220" spans="5:43" x14ac:dyDescent="0.25">
      <c r="E220" s="32"/>
      <c r="F220" t="s">
        <v>197</v>
      </c>
      <c r="G220" t="s">
        <v>167</v>
      </c>
      <c r="H220" s="25">
        <v>0.74418746014799986</v>
      </c>
      <c r="J220" s="63"/>
      <c r="L220" s="63"/>
      <c r="AQ220" s="3"/>
    </row>
    <row r="221" spans="5:43" x14ac:dyDescent="0.25">
      <c r="E221" s="32"/>
      <c r="F221" t="s">
        <v>198</v>
      </c>
      <c r="G221" t="s">
        <v>167</v>
      </c>
      <c r="H221" s="25">
        <v>0.74418746014799986</v>
      </c>
      <c r="J221" s="63"/>
      <c r="L221" s="63"/>
      <c r="AQ221" s="3"/>
    </row>
    <row r="222" spans="5:43" x14ac:dyDescent="0.25">
      <c r="E222" s="32"/>
      <c r="F222" s="37" t="s">
        <v>199</v>
      </c>
      <c r="G222" s="37" t="s">
        <v>167</v>
      </c>
      <c r="H222" s="141">
        <v>0.74418746014799986</v>
      </c>
      <c r="J222" s="63"/>
      <c r="L222" s="63"/>
      <c r="AQ222" s="3"/>
    </row>
    <row r="223" spans="5:43" x14ac:dyDescent="0.25">
      <c r="H223" s="166"/>
    </row>
    <row r="224" spans="5:43" x14ac:dyDescent="0.25">
      <c r="E224" s="32" t="s">
        <v>538</v>
      </c>
      <c r="J224" s="63"/>
      <c r="L224" s="63"/>
      <c r="AA224" t="s">
        <v>530</v>
      </c>
      <c r="AQ224" s="3"/>
    </row>
    <row r="225" spans="3:43" x14ac:dyDescent="0.25">
      <c r="E225" s="29" t="s">
        <v>539</v>
      </c>
      <c r="F225" s="29"/>
      <c r="J225" s="63"/>
      <c r="L225" s="63"/>
      <c r="AQ225" s="3"/>
    </row>
    <row r="226" spans="3:43" x14ac:dyDescent="0.25">
      <c r="C226" s="32"/>
      <c r="F226" s="23" t="s">
        <v>191</v>
      </c>
      <c r="G226" s="23" t="s">
        <v>167</v>
      </c>
      <c r="H226" s="172">
        <f t="shared" ref="H226:H233" si="55">IF(F226 = $F$234, $H$210, H214)</f>
        <v>4.8999999999999932E-2</v>
      </c>
      <c r="J226" s="63"/>
      <c r="L226" s="63"/>
      <c r="AQ226" s="3"/>
    </row>
    <row r="227" spans="3:43" x14ac:dyDescent="0.25">
      <c r="C227" s="32"/>
      <c r="F227" t="s">
        <v>192</v>
      </c>
      <c r="G227" t="s">
        <v>167</v>
      </c>
      <c r="H227" s="111">
        <f t="shared" si="55"/>
        <v>4.8999999999999932E-2</v>
      </c>
      <c r="J227" s="63"/>
      <c r="L227" s="63"/>
      <c r="AQ227" s="3"/>
    </row>
    <row r="228" spans="3:43" x14ac:dyDescent="0.25">
      <c r="C228" s="32"/>
      <c r="F228" t="s">
        <v>193</v>
      </c>
      <c r="G228" t="s">
        <v>167</v>
      </c>
      <c r="H228" s="111">
        <f t="shared" si="55"/>
        <v>4.8999999999999932E-2</v>
      </c>
      <c r="J228" s="63"/>
      <c r="L228" s="63"/>
      <c r="AQ228" s="3"/>
    </row>
    <row r="229" spans="3:43" x14ac:dyDescent="0.25">
      <c r="C229" s="32"/>
      <c r="F229" t="s">
        <v>194</v>
      </c>
      <c r="G229" t="s">
        <v>167</v>
      </c>
      <c r="H229" s="111">
        <f t="shared" si="55"/>
        <v>0.14058818999999989</v>
      </c>
      <c r="J229" s="63"/>
      <c r="L229" s="63"/>
      <c r="AQ229" s="3"/>
    </row>
    <row r="230" spans="3:43" x14ac:dyDescent="0.25">
      <c r="C230" s="32"/>
      <c r="F230" t="s">
        <v>195</v>
      </c>
      <c r="G230" t="s">
        <v>167</v>
      </c>
      <c r="H230" s="111">
        <f t="shared" si="55"/>
        <v>0.14058818999999989</v>
      </c>
      <c r="J230" s="63"/>
      <c r="L230" s="63"/>
      <c r="AQ230" s="3"/>
    </row>
    <row r="231" spans="3:43" x14ac:dyDescent="0.25">
      <c r="C231" s="32"/>
      <c r="F231" t="s">
        <v>196</v>
      </c>
      <c r="G231" t="s">
        <v>167</v>
      </c>
      <c r="H231" s="111">
        <f t="shared" si="55"/>
        <v>4.8999999999999932E-2</v>
      </c>
      <c r="J231" s="63"/>
      <c r="L231" s="63"/>
      <c r="AQ231" s="3"/>
    </row>
    <row r="232" spans="3:43" x14ac:dyDescent="0.25">
      <c r="C232" s="32"/>
      <c r="F232" t="s">
        <v>197</v>
      </c>
      <c r="G232" t="s">
        <v>167</v>
      </c>
      <c r="H232" s="111">
        <f t="shared" si="55"/>
        <v>0.74418746014799986</v>
      </c>
      <c r="J232" s="63"/>
      <c r="L232" s="63"/>
      <c r="AQ232" s="3"/>
    </row>
    <row r="233" spans="3:43" x14ac:dyDescent="0.25">
      <c r="C233" s="32"/>
      <c r="F233" t="s">
        <v>198</v>
      </c>
      <c r="G233" t="s">
        <v>167</v>
      </c>
      <c r="H233" s="111">
        <f t="shared" si="55"/>
        <v>0.74418746014799986</v>
      </c>
      <c r="J233" s="63"/>
      <c r="L233" s="63"/>
      <c r="AQ233" s="3"/>
    </row>
    <row r="234" spans="3:43" x14ac:dyDescent="0.25">
      <c r="C234" s="32"/>
      <c r="F234" s="37" t="s">
        <v>199</v>
      </c>
      <c r="G234" s="37" t="s">
        <v>167</v>
      </c>
      <c r="H234" s="143">
        <f>IF(F234 = $F$234, $H$210, H222)</f>
        <v>0.9018323888989086</v>
      </c>
      <c r="J234" s="63"/>
      <c r="L234" s="63"/>
      <c r="AQ234" s="3"/>
    </row>
    <row r="235" spans="3:43" x14ac:dyDescent="0.25">
      <c r="H235" s="166"/>
    </row>
    <row r="236" spans="3:43" x14ac:dyDescent="0.25">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25">
      <c r="H237" s="166"/>
    </row>
    <row r="238" spans="3:43" x14ac:dyDescent="0.25">
      <c r="E238" s="32" t="s">
        <v>540</v>
      </c>
      <c r="F238" s="29"/>
      <c r="H238" s="173"/>
    </row>
    <row r="239" spans="3:43" x14ac:dyDescent="0.25">
      <c r="C239" s="32"/>
      <c r="F239" s="23" t="s">
        <v>191</v>
      </c>
      <c r="G239" s="23" t="s">
        <v>172</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25">
      <c r="C240" s="32"/>
      <c r="F240" t="s">
        <v>192</v>
      </c>
      <c r="G240" t="s">
        <v>172</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0</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25">
      <c r="C241" s="32"/>
      <c r="F241" t="s">
        <v>193</v>
      </c>
      <c r="G241" t="s">
        <v>172</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25">
      <c r="C242" s="32"/>
      <c r="F242" t="s">
        <v>194</v>
      </c>
      <c r="G242" t="s">
        <v>172</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71.094664698745532</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25">
      <c r="C243" s="32"/>
      <c r="F243" t="s">
        <v>195</v>
      </c>
      <c r="G243" t="s">
        <v>172</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351.31574076280691</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25">
      <c r="C244" s="32"/>
      <c r="F244" t="s">
        <v>196</v>
      </c>
      <c r="G244" t="s">
        <v>172</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0</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25">
      <c r="C245" s="32"/>
      <c r="F245" t="s">
        <v>197</v>
      </c>
      <c r="G245" t="s">
        <v>172</v>
      </c>
      <c r="H245" s="63"/>
      <c r="J245" s="89">
        <f t="shared" ref="J245:Y245" si="62">J$192 * J29 * J40 / (1 + $H232) / $H51</f>
        <v>0</v>
      </c>
      <c r="K245" s="89">
        <f t="shared" si="62"/>
        <v>0</v>
      </c>
      <c r="L245" s="89">
        <f t="shared" si="62"/>
        <v>0</v>
      </c>
      <c r="M245" s="89">
        <f t="shared" si="62"/>
        <v>0</v>
      </c>
      <c r="N245" s="89">
        <f t="shared" si="62"/>
        <v>102.61860207274096</v>
      </c>
      <c r="O245" s="89">
        <f t="shared" si="62"/>
        <v>19.595680220430832</v>
      </c>
      <c r="P245" s="89">
        <f t="shared" si="62"/>
        <v>227.52070506409581</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25">
      <c r="C246" s="32"/>
      <c r="F246" t="s">
        <v>198</v>
      </c>
      <c r="G246" t="s">
        <v>172</v>
      </c>
      <c r="H246" s="63"/>
      <c r="J246" s="89">
        <f t="shared" ref="J246:Y246" si="63">J$192 * J30 * J41 / (1 + $H233) / $H52</f>
        <v>0</v>
      </c>
      <c r="K246" s="89">
        <f t="shared" si="63"/>
        <v>0</v>
      </c>
      <c r="L246" s="89">
        <f t="shared" si="63"/>
        <v>0</v>
      </c>
      <c r="M246" s="89">
        <f t="shared" si="63"/>
        <v>0</v>
      </c>
      <c r="N246" s="89">
        <f t="shared" si="63"/>
        <v>501.94934724910115</v>
      </c>
      <c r="O246" s="89">
        <f t="shared" si="63"/>
        <v>19.170089431885124</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25">
      <c r="C247" s="32"/>
      <c r="F247" s="37" t="s">
        <v>199</v>
      </c>
      <c r="G247" s="37" t="s">
        <v>172</v>
      </c>
      <c r="H247" s="130"/>
      <c r="I247" s="37"/>
      <c r="J247" s="82">
        <f t="shared" ref="J247:Y247" si="64">J$192 * J31 * J42 / (1 + $H234) / $H53</f>
        <v>0</v>
      </c>
      <c r="K247" s="82">
        <f t="shared" si="64"/>
        <v>0</v>
      </c>
      <c r="L247" s="82">
        <f t="shared" si="64"/>
        <v>0</v>
      </c>
      <c r="M247" s="82">
        <f t="shared" si="64"/>
        <v>0</v>
      </c>
      <c r="N247" s="82">
        <f t="shared" si="64"/>
        <v>446.02234061292944</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25">
      <c r="H248" s="166"/>
      <c r="J248" s="89"/>
      <c r="K248" s="89"/>
      <c r="L248" s="89"/>
      <c r="M248" s="89"/>
      <c r="N248" s="89"/>
      <c r="O248" s="89"/>
      <c r="P248" s="89"/>
      <c r="Q248" s="89"/>
      <c r="R248" s="89"/>
      <c r="S248" s="89"/>
      <c r="T248" s="89"/>
      <c r="U248" s="89"/>
      <c r="V248" s="89"/>
      <c r="W248" s="89"/>
      <c r="X248" s="89"/>
      <c r="Y248" s="89"/>
    </row>
    <row r="249" spans="3:43" x14ac:dyDescent="0.25">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25">
      <c r="H250" s="166"/>
      <c r="J250" s="89"/>
      <c r="K250" s="89"/>
      <c r="L250" s="89"/>
      <c r="M250" s="89"/>
      <c r="N250" s="89"/>
      <c r="O250" s="89"/>
      <c r="P250" s="89"/>
      <c r="Q250" s="89"/>
      <c r="R250" s="89"/>
      <c r="S250" s="89"/>
      <c r="T250" s="89"/>
      <c r="U250" s="89"/>
      <c r="V250" s="89"/>
      <c r="W250" s="89"/>
      <c r="X250" s="89"/>
      <c r="Y250" s="89"/>
    </row>
    <row r="251" spans="3:43" x14ac:dyDescent="0.25">
      <c r="E251" s="32" t="s">
        <v>541</v>
      </c>
      <c r="F251" s="29"/>
      <c r="H251" s="166"/>
      <c r="J251" s="89"/>
      <c r="K251" s="89"/>
      <c r="L251" s="89"/>
      <c r="M251" s="89"/>
      <c r="N251" s="89"/>
      <c r="O251" s="89"/>
      <c r="P251" s="89"/>
      <c r="Q251" s="89"/>
      <c r="R251" s="89"/>
      <c r="S251" s="89"/>
      <c r="T251" s="89"/>
      <c r="U251" s="89"/>
      <c r="V251" s="89"/>
      <c r="W251" s="89"/>
      <c r="X251" s="89"/>
      <c r="Y251" s="89"/>
    </row>
    <row r="252" spans="3:43" x14ac:dyDescent="0.25">
      <c r="C252" s="32"/>
      <c r="F252" s="23" t="s">
        <v>191</v>
      </c>
      <c r="G252" s="129" t="s">
        <v>172</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25">
      <c r="C253" s="32"/>
      <c r="F253" t="s">
        <v>192</v>
      </c>
      <c r="G253" s="63" t="s">
        <v>172</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25">
      <c r="C254" s="32"/>
      <c r="F254" t="s">
        <v>193</v>
      </c>
      <c r="G254" s="63" t="s">
        <v>172</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25">
      <c r="C255" s="32"/>
      <c r="F255" t="s">
        <v>194</v>
      </c>
      <c r="G255" s="63" t="s">
        <v>172</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25">
      <c r="C256" s="32"/>
      <c r="F256" t="s">
        <v>195</v>
      </c>
      <c r="G256" s="63" t="s">
        <v>172</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25">
      <c r="C257" s="32"/>
      <c r="F257" t="s">
        <v>196</v>
      </c>
      <c r="G257" s="63" t="s">
        <v>172</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25">
      <c r="C258" s="32"/>
      <c r="F258" t="s">
        <v>197</v>
      </c>
      <c r="G258" s="63" t="s">
        <v>172</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25">
      <c r="C259" s="32"/>
      <c r="F259" t="s">
        <v>198</v>
      </c>
      <c r="G259" s="63" t="s">
        <v>172</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25">
      <c r="C260" s="32"/>
      <c r="F260" s="37" t="s">
        <v>199</v>
      </c>
      <c r="G260" s="130" t="s">
        <v>172</v>
      </c>
      <c r="H260" s="130"/>
      <c r="I260" s="37"/>
      <c r="J260" s="82">
        <f t="shared" ref="J260:Y260" si="73">IF(AND(J$192 = 0, J$198), J$200 * J31 * J42 / (1 + $H234) / $H53, 0)</f>
        <v>360.85123722604044</v>
      </c>
      <c r="K260" s="82">
        <f t="shared" si="73"/>
        <v>0</v>
      </c>
      <c r="L260" s="82">
        <f t="shared" si="73"/>
        <v>140.76927212301572</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25">
      <c r="H261" s="166"/>
    </row>
    <row r="262" spans="2:43" x14ac:dyDescent="0.25">
      <c r="B262" s="30" t="s">
        <v>542</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25">
      <c r="H263" s="166"/>
      <c r="J263" s="63"/>
      <c r="K263" s="63"/>
      <c r="L263" s="63"/>
      <c r="M263" s="63"/>
      <c r="N263" s="63"/>
      <c r="O263" s="63"/>
      <c r="P263" s="63"/>
      <c r="Q263" s="63"/>
      <c r="R263" s="63"/>
      <c r="S263" s="63"/>
      <c r="T263" s="63"/>
      <c r="U263" s="63"/>
      <c r="V263" s="63"/>
      <c r="W263" s="63"/>
      <c r="X263" s="63"/>
      <c r="Y263" s="63"/>
    </row>
    <row r="264" spans="2:43" x14ac:dyDescent="0.25">
      <c r="C264" s="29" t="s">
        <v>543</v>
      </c>
      <c r="H264" s="166"/>
      <c r="J264" s="63"/>
      <c r="K264" s="63"/>
      <c r="L264" s="63"/>
      <c r="M264" s="63"/>
      <c r="N264" s="63"/>
      <c r="O264" s="63"/>
      <c r="P264" s="63"/>
      <c r="Q264" s="63"/>
      <c r="R264" s="63"/>
      <c r="S264" s="63"/>
      <c r="T264" s="63"/>
      <c r="U264" s="63"/>
      <c r="V264" s="63"/>
      <c r="W264" s="63"/>
      <c r="X264" s="63"/>
      <c r="Y264" s="63"/>
    </row>
    <row r="265" spans="2:43" x14ac:dyDescent="0.25">
      <c r="H265" s="166"/>
      <c r="J265" s="63"/>
      <c r="K265" s="63"/>
      <c r="L265" s="63"/>
      <c r="M265" s="63"/>
      <c r="N265" s="63"/>
      <c r="O265" s="63"/>
      <c r="P265" s="63"/>
      <c r="Q265" s="63"/>
      <c r="R265" s="63"/>
      <c r="S265" s="63"/>
      <c r="T265" s="63"/>
      <c r="U265" s="63"/>
      <c r="V265" s="63"/>
      <c r="W265" s="63"/>
      <c r="X265" s="63"/>
      <c r="Y265" s="63"/>
    </row>
    <row r="266" spans="2:43" x14ac:dyDescent="0.25">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25">
      <c r="H267" s="166"/>
    </row>
    <row r="268" spans="2:43" x14ac:dyDescent="0.25">
      <c r="E268" s="32" t="s">
        <v>544</v>
      </c>
      <c r="F268" s="29"/>
      <c r="H268" s="173" t="s">
        <v>545</v>
      </c>
      <c r="J268" s="63"/>
      <c r="K268" s="63"/>
      <c r="L268" s="63"/>
      <c r="M268" s="63"/>
      <c r="N268" s="63"/>
      <c r="O268" s="63"/>
      <c r="P268" s="63"/>
      <c r="Q268" s="63"/>
      <c r="R268" s="63"/>
      <c r="S268" s="63"/>
      <c r="T268" s="63"/>
      <c r="U268" s="63"/>
      <c r="V268" s="63"/>
      <c r="W268" s="63"/>
      <c r="X268" s="63"/>
      <c r="Y268" s="63"/>
    </row>
    <row r="269" spans="2:43" x14ac:dyDescent="0.25">
      <c r="C269" s="32"/>
      <c r="F269" s="23" t="s">
        <v>191</v>
      </c>
      <c r="G269" s="23" t="s">
        <v>172</v>
      </c>
      <c r="H269" s="101">
        <f t="shared" ref="H269:H277" si="74">SUM(J269:Y269)</f>
        <v>933.23891330882225</v>
      </c>
      <c r="I269" s="158"/>
      <c r="J269" s="158">
        <f t="shared" ref="J269:Y269" si="75">J239 + J252 + J168</f>
        <v>537.1956418744719</v>
      </c>
      <c r="K269" s="158">
        <f t="shared" si="75"/>
        <v>42.020926851139421</v>
      </c>
      <c r="L269" s="158">
        <f t="shared" si="75"/>
        <v>205.42389076380906</v>
      </c>
      <c r="M269" s="158">
        <f t="shared" si="75"/>
        <v>6.2596969757517593</v>
      </c>
      <c r="N269" s="158">
        <f t="shared" si="75"/>
        <v>252.61115915038607</v>
      </c>
      <c r="O269" s="158">
        <f t="shared" si="75"/>
        <v>16.981532370216691</v>
      </c>
      <c r="P269" s="158">
        <f t="shared" si="75"/>
        <v>111.66579609366566</v>
      </c>
      <c r="Q269" s="158">
        <f t="shared" si="75"/>
        <v>14.738014148339142</v>
      </c>
      <c r="R269" s="158">
        <f t="shared" si="75"/>
        <v>-0.87636405961730812</v>
      </c>
      <c r="S269" s="158">
        <f t="shared" si="75"/>
        <v>-5.101496532276767E-4</v>
      </c>
      <c r="T269" s="158">
        <f t="shared" si="75"/>
        <v>-49.710668052518493</v>
      </c>
      <c r="U269" s="158">
        <f t="shared" si="75"/>
        <v>0</v>
      </c>
      <c r="V269" s="158">
        <f t="shared" si="75"/>
        <v>-0.44986796294384523</v>
      </c>
      <c r="W269" s="158">
        <f t="shared" si="75"/>
        <v>0</v>
      </c>
      <c r="X269" s="158">
        <f t="shared" si="75"/>
        <v>-202.62033469422434</v>
      </c>
      <c r="Y269" s="158">
        <f t="shared" si="75"/>
        <v>0</v>
      </c>
      <c r="AQ269" s="3"/>
    </row>
    <row r="270" spans="2:43" x14ac:dyDescent="0.25">
      <c r="C270" s="32"/>
      <c r="F270" t="s">
        <v>192</v>
      </c>
      <c r="G270" t="s">
        <v>172</v>
      </c>
      <c r="H270" s="121">
        <f t="shared" si="74"/>
        <v>0</v>
      </c>
      <c r="I270" s="89"/>
      <c r="J270" s="89">
        <f t="shared" ref="J270:Y270" si="76">J240 + J253 + J169</f>
        <v>0</v>
      </c>
      <c r="K270" s="89">
        <f t="shared" si="76"/>
        <v>0</v>
      </c>
      <c r="L270" s="89">
        <f t="shared" si="76"/>
        <v>0</v>
      </c>
      <c r="M270" s="89">
        <f t="shared" si="76"/>
        <v>0</v>
      </c>
      <c r="N270" s="89">
        <f t="shared" si="76"/>
        <v>0</v>
      </c>
      <c r="O270" s="89">
        <f t="shared" si="76"/>
        <v>0</v>
      </c>
      <c r="P270" s="89">
        <f t="shared" si="76"/>
        <v>0</v>
      </c>
      <c r="Q270" s="89">
        <f t="shared" si="76"/>
        <v>0</v>
      </c>
      <c r="R270" s="89">
        <f t="shared" si="76"/>
        <v>0</v>
      </c>
      <c r="S270" s="89">
        <f t="shared" si="76"/>
        <v>0</v>
      </c>
      <c r="T270" s="89">
        <f t="shared" si="76"/>
        <v>0</v>
      </c>
      <c r="U270" s="89">
        <f t="shared" si="76"/>
        <v>0</v>
      </c>
      <c r="V270" s="89">
        <f t="shared" si="76"/>
        <v>0</v>
      </c>
      <c r="W270" s="89">
        <f t="shared" si="76"/>
        <v>0</v>
      </c>
      <c r="X270" s="89">
        <f t="shared" si="76"/>
        <v>0</v>
      </c>
      <c r="Y270" s="89">
        <f t="shared" si="76"/>
        <v>0</v>
      </c>
      <c r="AQ270" s="3"/>
    </row>
    <row r="271" spans="2:43" x14ac:dyDescent="0.25">
      <c r="C271" s="32"/>
      <c r="F271" t="s">
        <v>193</v>
      </c>
      <c r="G271" t="s">
        <v>172</v>
      </c>
      <c r="H271" s="121">
        <f t="shared" si="74"/>
        <v>0</v>
      </c>
      <c r="I271" s="89"/>
      <c r="J271" s="89">
        <f t="shared" ref="J271:Y271" si="77">J241 + J254 + J170</f>
        <v>0</v>
      </c>
      <c r="K271" s="89">
        <f t="shared" si="77"/>
        <v>0</v>
      </c>
      <c r="L271" s="89">
        <f t="shared" si="77"/>
        <v>0</v>
      </c>
      <c r="M271" s="89">
        <f t="shared" si="77"/>
        <v>0</v>
      </c>
      <c r="N271" s="89">
        <f t="shared" si="77"/>
        <v>0</v>
      </c>
      <c r="O271" s="89">
        <f t="shared" si="77"/>
        <v>0</v>
      </c>
      <c r="P271" s="89">
        <f t="shared" si="77"/>
        <v>0</v>
      </c>
      <c r="Q271" s="89">
        <f t="shared" si="77"/>
        <v>0</v>
      </c>
      <c r="R271" s="89">
        <f t="shared" si="77"/>
        <v>0</v>
      </c>
      <c r="S271" s="89">
        <f t="shared" si="77"/>
        <v>0</v>
      </c>
      <c r="T271" s="89">
        <f t="shared" si="77"/>
        <v>0</v>
      </c>
      <c r="U271" s="89">
        <f t="shared" si="77"/>
        <v>0</v>
      </c>
      <c r="V271" s="89">
        <f t="shared" si="77"/>
        <v>0</v>
      </c>
      <c r="W271" s="89">
        <f t="shared" si="77"/>
        <v>0</v>
      </c>
      <c r="X271" s="89">
        <f t="shared" si="77"/>
        <v>0</v>
      </c>
      <c r="Y271" s="89">
        <f t="shared" si="77"/>
        <v>0</v>
      </c>
      <c r="AQ271" s="3"/>
    </row>
    <row r="272" spans="2:43" x14ac:dyDescent="0.25">
      <c r="C272" s="32"/>
      <c r="F272" t="s">
        <v>194</v>
      </c>
      <c r="G272" t="s">
        <v>172</v>
      </c>
      <c r="H272" s="121">
        <f t="shared" si="74"/>
        <v>959.49553388222398</v>
      </c>
      <c r="I272" s="89"/>
      <c r="J272" s="89">
        <f t="shared" ref="J272:Y272" si="78">J242 + J255 + J171</f>
        <v>521.13094028048454</v>
      </c>
      <c r="K272" s="89">
        <f t="shared" si="78"/>
        <v>44.176577912550002</v>
      </c>
      <c r="L272" s="89">
        <f t="shared" si="78"/>
        <v>200.99305163513921</v>
      </c>
      <c r="M272" s="89">
        <f t="shared" si="78"/>
        <v>6.178346712906718</v>
      </c>
      <c r="N272" s="89">
        <f t="shared" si="78"/>
        <v>247.68028044495057</v>
      </c>
      <c r="O272" s="89">
        <f t="shared" si="78"/>
        <v>16.720979778923546</v>
      </c>
      <c r="P272" s="89">
        <f t="shared" si="78"/>
        <v>158.91773852876759</v>
      </c>
      <c r="Q272" s="89">
        <f t="shared" si="78"/>
        <v>13.847559969077567</v>
      </c>
      <c r="R272" s="89">
        <f t="shared" si="78"/>
        <v>-0.85269231814774926</v>
      </c>
      <c r="S272" s="89">
        <f t="shared" si="78"/>
        <v>-4.9524252017330657E-4</v>
      </c>
      <c r="T272" s="89">
        <f t="shared" si="78"/>
        <v>-49.190922751876784</v>
      </c>
      <c r="U272" s="89">
        <f t="shared" si="78"/>
        <v>0</v>
      </c>
      <c r="V272" s="89">
        <f t="shared" si="78"/>
        <v>-0.44005673092250985</v>
      </c>
      <c r="W272" s="89">
        <f t="shared" si="78"/>
        <v>0</v>
      </c>
      <c r="X272" s="89">
        <f t="shared" si="78"/>
        <v>-199.66577433710836</v>
      </c>
      <c r="Y272" s="89">
        <f t="shared" si="78"/>
        <v>0</v>
      </c>
      <c r="AQ272" s="3"/>
    </row>
    <row r="273" spans="2:43" x14ac:dyDescent="0.25">
      <c r="C273" s="32"/>
      <c r="F273" t="s">
        <v>195</v>
      </c>
      <c r="G273" t="s">
        <v>172</v>
      </c>
      <c r="H273" s="121">
        <f t="shared" si="74"/>
        <v>1142.5300531296732</v>
      </c>
      <c r="I273" s="89"/>
      <c r="J273" s="89">
        <f t="shared" ref="J273:Y273" si="79">J243 + J256 + J172</f>
        <v>515.03584156375371</v>
      </c>
      <c r="K273" s="89">
        <f t="shared" si="79"/>
        <v>43.659892790765795</v>
      </c>
      <c r="L273" s="89">
        <f t="shared" si="79"/>
        <v>198.642255709582</v>
      </c>
      <c r="M273" s="89">
        <f t="shared" si="79"/>
        <v>6.1060853478434813</v>
      </c>
      <c r="N273" s="89">
        <f t="shared" si="79"/>
        <v>244.78343505962948</v>
      </c>
      <c r="O273" s="89">
        <f t="shared" si="79"/>
        <v>16.525412763965377</v>
      </c>
      <c r="P273" s="89">
        <f t="shared" si="79"/>
        <v>351.31574076280691</v>
      </c>
      <c r="Q273" s="89">
        <f t="shared" si="79"/>
        <v>13.685600203357364</v>
      </c>
      <c r="R273" s="89">
        <f t="shared" si="79"/>
        <v>-0.84271930857876975</v>
      </c>
      <c r="S273" s="89">
        <f t="shared" si="79"/>
        <v>-4.8945020999584092E-4</v>
      </c>
      <c r="T273" s="89">
        <f t="shared" si="79"/>
        <v>-48.615590322030272</v>
      </c>
      <c r="U273" s="89">
        <f t="shared" si="79"/>
        <v>0</v>
      </c>
      <c r="V273" s="89">
        <f t="shared" si="79"/>
        <v>-0.43490986857253899</v>
      </c>
      <c r="W273" s="89">
        <f t="shared" si="79"/>
        <v>0</v>
      </c>
      <c r="X273" s="89">
        <f t="shared" si="79"/>
        <v>-197.33050212263927</v>
      </c>
      <c r="Y273" s="89">
        <f t="shared" si="79"/>
        <v>0</v>
      </c>
      <c r="AQ273" s="3"/>
    </row>
    <row r="274" spans="2:43" x14ac:dyDescent="0.25">
      <c r="C274" s="32"/>
      <c r="F274" t="s">
        <v>196</v>
      </c>
      <c r="G274" t="s">
        <v>172</v>
      </c>
      <c r="H274" s="121">
        <f t="shared" si="74"/>
        <v>0</v>
      </c>
      <c r="I274" s="89"/>
      <c r="J274" s="89">
        <f t="shared" ref="J274:Y274" si="80">J244 + J257 + J173</f>
        <v>0</v>
      </c>
      <c r="K274" s="89">
        <f t="shared" si="80"/>
        <v>0</v>
      </c>
      <c r="L274" s="89">
        <f t="shared" si="80"/>
        <v>0</v>
      </c>
      <c r="M274" s="89">
        <f t="shared" si="80"/>
        <v>0</v>
      </c>
      <c r="N274" s="89">
        <f t="shared" si="80"/>
        <v>0</v>
      </c>
      <c r="O274" s="89">
        <f t="shared" si="80"/>
        <v>0</v>
      </c>
      <c r="P274" s="89">
        <f t="shared" si="80"/>
        <v>0</v>
      </c>
      <c r="Q274" s="89">
        <f t="shared" si="80"/>
        <v>0</v>
      </c>
      <c r="R274" s="89">
        <f t="shared" si="80"/>
        <v>0</v>
      </c>
      <c r="S274" s="89">
        <f t="shared" si="80"/>
        <v>0</v>
      </c>
      <c r="T274" s="89">
        <f t="shared" si="80"/>
        <v>0</v>
      </c>
      <c r="U274" s="89">
        <f t="shared" si="80"/>
        <v>0</v>
      </c>
      <c r="V274" s="89">
        <f t="shared" si="80"/>
        <v>0</v>
      </c>
      <c r="W274" s="89">
        <f t="shared" si="80"/>
        <v>0</v>
      </c>
      <c r="X274" s="89">
        <f t="shared" si="80"/>
        <v>0</v>
      </c>
      <c r="Y274" s="89">
        <f t="shared" si="80"/>
        <v>0</v>
      </c>
      <c r="AQ274" s="3"/>
    </row>
    <row r="275" spans="2:43" x14ac:dyDescent="0.25">
      <c r="C275" s="32"/>
      <c r="F275" t="s">
        <v>197</v>
      </c>
      <c r="G275" t="s">
        <v>172</v>
      </c>
      <c r="H275" s="121">
        <f t="shared" si="74"/>
        <v>1263.887830307237</v>
      </c>
      <c r="I275" s="89"/>
      <c r="J275" s="89">
        <f t="shared" ref="J275:Y275" si="81">J245 + J258 + J174</f>
        <v>510.06445313167114</v>
      </c>
      <c r="K275" s="89">
        <f t="shared" si="81"/>
        <v>43.238465254175395</v>
      </c>
      <c r="L275" s="89">
        <f t="shared" si="81"/>
        <v>196.72485941894899</v>
      </c>
      <c r="M275" s="89">
        <f t="shared" si="81"/>
        <v>6.0471463000843739</v>
      </c>
      <c r="N275" s="89">
        <f t="shared" si="81"/>
        <v>296.55513054469452</v>
      </c>
      <c r="O275" s="89">
        <f t="shared" si="81"/>
        <v>19.595680220430832</v>
      </c>
      <c r="P275" s="89">
        <f t="shared" si="81"/>
        <v>227.52070506409581</v>
      </c>
      <c r="Q275" s="89">
        <f t="shared" si="81"/>
        <v>13.553499815294067</v>
      </c>
      <c r="R275" s="89">
        <f t="shared" si="81"/>
        <v>-0.83458495231835694</v>
      </c>
      <c r="S275" s="89">
        <f t="shared" si="81"/>
        <v>-4.8472578711943325E-4</v>
      </c>
      <c r="T275" s="89">
        <f t="shared" si="81"/>
        <v>-48.146327867184425</v>
      </c>
      <c r="U275" s="89">
        <f t="shared" si="81"/>
        <v>0</v>
      </c>
      <c r="V275" s="89">
        <f t="shared" si="81"/>
        <v>-0.43071189686817091</v>
      </c>
      <c r="W275" s="89">
        <f t="shared" si="81"/>
        <v>0</v>
      </c>
      <c r="X275" s="89">
        <f t="shared" si="81"/>
        <v>0</v>
      </c>
      <c r="Y275" s="89">
        <f t="shared" si="81"/>
        <v>0</v>
      </c>
      <c r="AQ275" s="3"/>
    </row>
    <row r="276" spans="2:43" x14ac:dyDescent="0.25">
      <c r="C276" s="32"/>
      <c r="F276" t="s">
        <v>198</v>
      </c>
      <c r="G276" t="s">
        <v>172</v>
      </c>
      <c r="H276" s="121">
        <f t="shared" si="74"/>
        <v>1226.1154909777713</v>
      </c>
      <c r="I276" s="89"/>
      <c r="J276" s="89">
        <f t="shared" ref="J276:Y276" si="82">J246 + J259 + J175</f>
        <v>498.98656604760276</v>
      </c>
      <c r="K276" s="89">
        <f t="shared" si="82"/>
        <v>42.299386216549301</v>
      </c>
      <c r="L276" s="89">
        <f t="shared" si="82"/>
        <v>192.45227040418428</v>
      </c>
      <c r="M276" s="89">
        <f t="shared" si="82"/>
        <v>5.915810733604733</v>
      </c>
      <c r="N276" s="89">
        <f t="shared" si="82"/>
        <v>501.94934724910115</v>
      </c>
      <c r="O276" s="89">
        <f t="shared" si="82"/>
        <v>19.170089431885124</v>
      </c>
      <c r="P276" s="89">
        <f t="shared" si="82"/>
        <v>0</v>
      </c>
      <c r="Q276" s="89">
        <f t="shared" si="82"/>
        <v>13.259136740929797</v>
      </c>
      <c r="R276" s="89">
        <f t="shared" si="82"/>
        <v>-0.8164589335239073</v>
      </c>
      <c r="S276" s="89">
        <f t="shared" si="82"/>
        <v>0</v>
      </c>
      <c r="T276" s="89">
        <f t="shared" si="82"/>
        <v>-47.100656912561917</v>
      </c>
      <c r="U276" s="89">
        <f t="shared" si="82"/>
        <v>0</v>
      </c>
      <c r="V276" s="89">
        <f t="shared" si="82"/>
        <v>0</v>
      </c>
      <c r="W276" s="89">
        <f t="shared" si="82"/>
        <v>0</v>
      </c>
      <c r="X276" s="89">
        <f t="shared" si="82"/>
        <v>0</v>
      </c>
      <c r="Y276" s="89">
        <f t="shared" si="82"/>
        <v>0</v>
      </c>
      <c r="AQ276" s="3"/>
    </row>
    <row r="277" spans="2:43" x14ac:dyDescent="0.25">
      <c r="C277" s="32"/>
      <c r="F277" s="37" t="s">
        <v>199</v>
      </c>
      <c r="G277" s="37" t="s">
        <v>172</v>
      </c>
      <c r="H277" s="131">
        <f t="shared" si="74"/>
        <v>960.48953414189839</v>
      </c>
      <c r="I277" s="82"/>
      <c r="J277" s="82">
        <f t="shared" ref="J277:Y277" si="83">J247 + J260 + J176</f>
        <v>360.85123722604044</v>
      </c>
      <c r="K277" s="82">
        <f t="shared" si="83"/>
        <v>0</v>
      </c>
      <c r="L277" s="82">
        <f t="shared" si="83"/>
        <v>140.76927212301572</v>
      </c>
      <c r="M277" s="82">
        <f t="shared" si="83"/>
        <v>0</v>
      </c>
      <c r="N277" s="82">
        <f t="shared" si="83"/>
        <v>446.02234061292944</v>
      </c>
      <c r="O277" s="82">
        <f t="shared" si="83"/>
        <v>0</v>
      </c>
      <c r="P277" s="82">
        <f t="shared" si="83"/>
        <v>0</v>
      </c>
      <c r="Q277" s="82">
        <f t="shared" si="83"/>
        <v>12.846684179912767</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25">
      <c r="H278" s="166"/>
    </row>
    <row r="279" spans="2:43" x14ac:dyDescent="0.25">
      <c r="B279" s="30" t="s">
        <v>231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25">
      <c r="E281" t="s">
        <v>232</v>
      </c>
      <c r="G281" s="6" t="s">
        <v>55</v>
      </c>
      <c r="H281" s="26">
        <f t="array" ref="H281">SUM(IF(ISERROR(H23:Y277), 1))</f>
        <v>0</v>
      </c>
    </row>
    <row r="283" spans="2:43" x14ac:dyDescent="0.25">
      <c r="B283" s="30" t="s">
        <v>106</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25">
      <c r="J288" s="63"/>
      <c r="L288" s="63"/>
    </row>
    <row r="289" spans="10:12" x14ac:dyDescent="0.25">
      <c r="J289" s="63"/>
      <c r="L289" s="63"/>
    </row>
    <row r="290" spans="10:12" x14ac:dyDescent="0.25">
      <c r="J290" s="63"/>
      <c r="L290" s="63"/>
    </row>
    <row r="291" spans="10:12" x14ac:dyDescent="0.25">
      <c r="J291" s="63"/>
      <c r="L291" s="63"/>
    </row>
    <row r="292" spans="10:12" x14ac:dyDescent="0.25">
      <c r="J292" s="63"/>
      <c r="L292" s="63"/>
    </row>
    <row r="293" spans="10:12" x14ac:dyDescent="0.25">
      <c r="J293" s="63"/>
      <c r="L293" s="63"/>
    </row>
    <row r="294" spans="10:12" x14ac:dyDescent="0.25">
      <c r="J294" s="63"/>
      <c r="L294" s="63"/>
    </row>
    <row r="295" spans="10:12" x14ac:dyDescent="0.25">
      <c r="J295" s="63"/>
      <c r="L295" s="63"/>
    </row>
    <row r="296" spans="10:12" x14ac:dyDescent="0.25">
      <c r="J296" s="63"/>
      <c r="L296" s="63"/>
    </row>
    <row r="297" spans="10:12" x14ac:dyDescent="0.25">
      <c r="J297" s="63"/>
      <c r="L297" s="63"/>
    </row>
    <row r="298" spans="10:12" x14ac:dyDescent="0.25">
      <c r="J298" s="63"/>
      <c r="L298" s="63"/>
    </row>
    <row r="299" spans="10:12" x14ac:dyDescent="0.25">
      <c r="J299" s="63"/>
      <c r="L299" s="63"/>
    </row>
    <row r="300" spans="10:12" x14ac:dyDescent="0.25">
      <c r="J300" s="63"/>
      <c r="L300" s="63"/>
    </row>
    <row r="301" spans="10:12" x14ac:dyDescent="0.25">
      <c r="J301" s="63"/>
      <c r="L301" s="63"/>
    </row>
    <row r="302" spans="10:12" x14ac:dyDescent="0.25">
      <c r="J302" s="63"/>
      <c r="L302" s="63"/>
    </row>
    <row r="303" spans="10:12" x14ac:dyDescent="0.25">
      <c r="J303" s="63"/>
      <c r="L303" s="63"/>
    </row>
    <row r="304" spans="10:12" x14ac:dyDescent="0.25">
      <c r="J304" s="63"/>
      <c r="L304" s="63"/>
    </row>
    <row r="305" spans="10:12" x14ac:dyDescent="0.25">
      <c r="J305" s="63"/>
      <c r="L305" s="63"/>
    </row>
    <row r="306" spans="10:12" x14ac:dyDescent="0.25">
      <c r="J306" s="63"/>
      <c r="L306" s="63"/>
    </row>
    <row r="307" spans="10:12" x14ac:dyDescent="0.25">
      <c r="J307" s="63"/>
      <c r="L307" s="63"/>
    </row>
    <row r="308" spans="10:12" x14ac:dyDescent="0.25">
      <c r="J308" s="63"/>
      <c r="L308" s="63"/>
    </row>
    <row r="309" spans="10:12" x14ac:dyDescent="0.25">
      <c r="J309" s="63"/>
      <c r="L309" s="63"/>
    </row>
    <row r="310" spans="10:12" x14ac:dyDescent="0.25">
      <c r="J310" s="63"/>
      <c r="L310" s="63"/>
    </row>
    <row r="311" spans="10:12" x14ac:dyDescent="0.25">
      <c r="J311" s="63"/>
      <c r="L311" s="63"/>
    </row>
    <row r="312" spans="10:12" x14ac:dyDescent="0.25">
      <c r="J312" s="63"/>
      <c r="L312" s="63"/>
    </row>
    <row r="313" spans="10:12" x14ac:dyDescent="0.25">
      <c r="J313" s="63"/>
      <c r="L313" s="63"/>
    </row>
    <row r="314" spans="10:12" x14ac:dyDescent="0.25">
      <c r="J314" s="63"/>
      <c r="L314" s="63"/>
    </row>
    <row r="315" spans="10:12" x14ac:dyDescent="0.25">
      <c r="J315" s="63"/>
      <c r="L315" s="63"/>
    </row>
    <row r="316" spans="10:12" x14ac:dyDescent="0.25">
      <c r="J316" s="63"/>
      <c r="L316" s="63"/>
    </row>
    <row r="317" spans="10:12" x14ac:dyDescent="0.25">
      <c r="J317" s="63"/>
      <c r="L317" s="63"/>
    </row>
    <row r="318" spans="10:12" x14ac:dyDescent="0.25">
      <c r="J318" s="63"/>
      <c r="L318" s="63"/>
    </row>
    <row r="319" spans="10:12" x14ac:dyDescent="0.25">
      <c r="J319" s="63"/>
      <c r="L319" s="63"/>
    </row>
    <row r="320" spans="10:12" x14ac:dyDescent="0.25">
      <c r="J320" s="63"/>
      <c r="L320" s="63"/>
    </row>
  </sheetData>
  <sheetProtection sheet="1" objects="1" formatCells="0" formatColumns="0" formatRows="0" sort="0" autoFilter="0"/>
  <conditionalFormatting sqref="H281">
    <cfRule type="cellIs" dxfId="144" priority="10" operator="greaterThan">
      <formula>0</formula>
    </cfRule>
  </conditionalFormatting>
  <conditionalFormatting sqref="A4:I4 Z4:XFD4">
    <cfRule type="expression" dxfId="143" priority="9">
      <formula>LEFT($A$4,1) &lt;&gt; "0"</formula>
    </cfRule>
  </conditionalFormatting>
  <conditionalFormatting sqref="N4:P4">
    <cfRule type="expression" dxfId="142" priority="8">
      <formula>LEFT($A$4,1) &lt;&gt; "0"</formula>
    </cfRule>
  </conditionalFormatting>
  <conditionalFormatting sqref="L4:M4">
    <cfRule type="expression" dxfId="141" priority="7">
      <formula>LEFT($A$4,1) &lt;&gt; "0"</formula>
    </cfRule>
  </conditionalFormatting>
  <conditionalFormatting sqref="J4:K4">
    <cfRule type="expression" dxfId="140" priority="6">
      <formula>LEFT($A$4,1) &lt;&gt; "0"</formula>
    </cfRule>
  </conditionalFormatting>
  <conditionalFormatting sqref="Q4">
    <cfRule type="expression" dxfId="139" priority="5">
      <formula>LEFT($A$4,1) &lt;&gt; "0"</formula>
    </cfRule>
  </conditionalFormatting>
  <conditionalFormatting sqref="R4:S4">
    <cfRule type="expression" dxfId="138" priority="4">
      <formula>LEFT($A$4,1) &lt;&gt; "0"</formula>
    </cfRule>
  </conditionalFormatting>
  <conditionalFormatting sqref="T4:U4">
    <cfRule type="expression" dxfId="137" priority="3">
      <formula>LEFT($A$4,1) &lt;&gt; "0"</formula>
    </cfRule>
  </conditionalFormatting>
  <conditionalFormatting sqref="V4:W4">
    <cfRule type="expression" dxfId="136" priority="2">
      <formula>LEFT($A$4,1) &lt;&gt; "0"</formula>
    </cfRule>
  </conditionalFormatting>
  <conditionalFormatting sqref="X4:Y4">
    <cfRule type="expression" dxfId="135" priority="1">
      <formula>LEFT($A$4,1) &lt;&gt; "0"</formula>
    </cfRule>
  </conditionalFormatting>
  <hyperlinks>
    <hyperlink ref="B5:F5" location="'Model map'!A1" display="Click here to return to model map" xr:uid="{00000000-0004-0000-0E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theme="4" tint="0.59999389629810485"/>
    <pageSetUpPr fitToPage="1"/>
  </sheetPr>
  <dimension ref="A1:LH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Service model assets</v>
      </c>
    </row>
    <row r="2" spans="1:43" s="1" customFormat="1" x14ac:dyDescent="0.25">
      <c r="A2" s="1" t="str">
        <f>Cover!D21&amp;" - "&amp;Cover!D23</f>
        <v xml:space="preserve">SHEPD  - Final </v>
      </c>
    </row>
    <row r="3" spans="1:43" s="5" customFormat="1" x14ac:dyDescent="0.25">
      <c r="A3" s="5" t="str">
        <f>Cover!D2&amp;" - "&amp;Cover!D8&amp;" v"&amp;Cover!D10&amp;" - "&amp;Cover!D19</f>
        <v>CDCM charging model - Release for charge setting v5 - 2021/22</v>
      </c>
    </row>
    <row r="4" spans="1:43" x14ac:dyDescent="0.25">
      <c r="A4" s="12" t="str">
        <f>H38 &amp; IF(H38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546</v>
      </c>
    </row>
    <row r="10" spans="1:43" x14ac:dyDescent="0.25">
      <c r="C10" s="29" t="s">
        <v>547</v>
      </c>
    </row>
    <row r="11" spans="1:43" x14ac:dyDescent="0.25">
      <c r="D11" s="32"/>
      <c r="AQ11" s="3"/>
    </row>
    <row r="12" spans="1:43" x14ac:dyDescent="0.25">
      <c r="B12" s="30" t="s">
        <v>548</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25">
      <c r="G13" s="13"/>
    </row>
    <row r="14" spans="1:43" x14ac:dyDescent="0.25">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25">
      <c r="E16" s="28" t="s">
        <v>549</v>
      </c>
      <c r="G16" s="28" t="s">
        <v>212</v>
      </c>
      <c r="J16" s="120">
        <f>'Volume adjustments'!J103</f>
        <v>714246.25092537317</v>
      </c>
      <c r="K16" s="120">
        <f>'Volume adjustments'!K103</f>
        <v>70461.662878625808</v>
      </c>
      <c r="L16" s="120">
        <f>'Volume adjustments'!L103</f>
        <v>73679.769660750448</v>
      </c>
      <c r="M16" s="120">
        <f>'Volume adjustments'!M103</f>
        <v>2784.9059115721761</v>
      </c>
      <c r="N16" s="120">
        <f>'Volume adjustments'!N103</f>
        <v>6693.0816317456884</v>
      </c>
      <c r="O16" s="120">
        <f>'Volume adjustments'!O103</f>
        <v>111.81645052702237</v>
      </c>
      <c r="P16" s="120">
        <f>'Volume adjustments'!P103</f>
        <v>693.26526408438758</v>
      </c>
      <c r="Q16" s="120">
        <f>'Volume adjustments'!Q103</f>
        <v>2084.8369098714279</v>
      </c>
      <c r="R16" s="120">
        <f>'Volume adjustments'!R103</f>
        <v>351.61290322580641</v>
      </c>
      <c r="S16" s="120">
        <f>'Volume adjustments'!S103</f>
        <v>1</v>
      </c>
      <c r="T16" s="120">
        <f>'Volume adjustments'!T103</f>
        <v>775.9677419354847</v>
      </c>
      <c r="U16" s="120">
        <f>'Volume adjustments'!U103</f>
        <v>0</v>
      </c>
      <c r="V16" s="120">
        <f>'Volume adjustments'!V103</f>
        <v>1.9999999999999989</v>
      </c>
      <c r="W16" s="120">
        <f>'Volume adjustments'!W103</f>
        <v>0</v>
      </c>
      <c r="X16" s="120">
        <f>'Volume adjustments'!X103</f>
        <v>355.55640880208517</v>
      </c>
      <c r="Y16" s="120">
        <f>'Volume adjustments'!Y103</f>
        <v>0</v>
      </c>
    </row>
    <row r="17" spans="5:27" x14ac:dyDescent="0.25">
      <c r="E17" s="28" t="s">
        <v>550</v>
      </c>
      <c r="G17" s="28" t="s">
        <v>207</v>
      </c>
      <c r="J17" s="124">
        <f>'Volume adjustments'!J92</f>
        <v>2611063.5933068539</v>
      </c>
      <c r="K17" s="124">
        <f>'Volume adjustments'!K92</f>
        <v>383145.43422277115</v>
      </c>
      <c r="L17" s="124">
        <f>'Volume adjustments'!L92</f>
        <v>1014788.0881991906</v>
      </c>
      <c r="M17" s="124">
        <f>'Volume adjustments'!M92</f>
        <v>34804.029265338919</v>
      </c>
      <c r="N17" s="124">
        <f>'Volume adjustments'!N92</f>
        <v>1435618.334479908</v>
      </c>
      <c r="O17" s="124">
        <f>'Volume adjustments'!O92</f>
        <v>123320.08945121143</v>
      </c>
      <c r="P17" s="124">
        <f>'Volume adjustments'!P92</f>
        <v>798396.88573508302</v>
      </c>
      <c r="Q17" s="124">
        <f>'Volume adjustments'!Q92</f>
        <v>93455.150527892154</v>
      </c>
      <c r="R17" s="124">
        <f>'Volume adjustments'!R92</f>
        <v>5903.6391080120102</v>
      </c>
      <c r="S17" s="124">
        <f>'Volume adjustments'!S92</f>
        <v>3.4950000000000014</v>
      </c>
      <c r="T17" s="124">
        <f>'Volume adjustments'!T92</f>
        <v>408018.18342338491</v>
      </c>
      <c r="U17" s="124">
        <f>'Volume adjustments'!U92</f>
        <v>0</v>
      </c>
      <c r="V17" s="124">
        <f>'Volume adjustments'!V92</f>
        <v>3432.3286999999973</v>
      </c>
      <c r="W17" s="124">
        <f>'Volume adjustments'!W92</f>
        <v>0</v>
      </c>
      <c r="X17" s="124">
        <f>'Volume adjustments'!X92</f>
        <v>1690808.8716422864</v>
      </c>
      <c r="Y17" s="124">
        <f>'Volume adjustments'!Y92</f>
        <v>0</v>
      </c>
    </row>
    <row r="18" spans="5:27" x14ac:dyDescent="0.25">
      <c r="J18" s="89"/>
      <c r="K18" s="89"/>
      <c r="L18" s="89"/>
      <c r="M18" s="89"/>
      <c r="N18" s="89"/>
      <c r="O18" s="89"/>
      <c r="P18" s="89"/>
      <c r="Q18" s="89"/>
      <c r="R18" s="89"/>
      <c r="S18" s="89"/>
      <c r="T18" s="89"/>
      <c r="U18" s="89"/>
      <c r="V18" s="89"/>
      <c r="W18" s="89"/>
      <c r="X18" s="89"/>
      <c r="Y18" s="89"/>
    </row>
    <row r="19" spans="5:27" x14ac:dyDescent="0.25">
      <c r="E19" s="88" t="s">
        <v>551</v>
      </c>
      <c r="J19" s="89"/>
      <c r="K19" s="89"/>
      <c r="L19" s="89"/>
      <c r="M19" s="89"/>
      <c r="N19" s="89"/>
      <c r="O19" s="89"/>
      <c r="P19" s="89"/>
      <c r="Q19" s="89"/>
      <c r="R19" s="89"/>
      <c r="S19" s="89"/>
      <c r="T19" s="89"/>
      <c r="U19" s="89"/>
      <c r="V19" s="89"/>
      <c r="W19" s="89"/>
      <c r="X19" s="89"/>
      <c r="Y19" s="89"/>
    </row>
    <row r="20" spans="5:27" x14ac:dyDescent="0.25">
      <c r="E20" s="29" t="s">
        <v>552</v>
      </c>
      <c r="J20" s="89"/>
      <c r="K20" s="89"/>
      <c r="L20" s="89"/>
      <c r="M20" s="89"/>
      <c r="N20" s="89"/>
      <c r="O20" s="89"/>
      <c r="P20" s="89"/>
      <c r="Q20" s="89"/>
      <c r="R20" s="89"/>
      <c r="S20" s="89"/>
      <c r="T20" s="89"/>
      <c r="U20" s="89"/>
      <c r="V20" s="89"/>
      <c r="W20" s="89"/>
      <c r="X20" s="89"/>
      <c r="Y20" s="89"/>
    </row>
    <row r="21" spans="5:27" x14ac:dyDescent="0.25">
      <c r="E21" s="88"/>
      <c r="F21" s="23" t="s">
        <v>376</v>
      </c>
      <c r="G21" s="23" t="s">
        <v>261</v>
      </c>
      <c r="H21" s="174"/>
      <c r="I21" s="23"/>
      <c r="J21" s="124">
        <f>'Inputs by customer type'!J53</f>
        <v>323.73154823152947</v>
      </c>
      <c r="K21" s="124">
        <f>'Inputs by customer type'!K53</f>
        <v>0</v>
      </c>
      <c r="L21" s="124">
        <f>'Inputs by customer type'!L53</f>
        <v>585.77128282075012</v>
      </c>
      <c r="M21" s="124">
        <f>'Inputs by customer type'!M53</f>
        <v>0</v>
      </c>
      <c r="N21" s="124">
        <f>'Inputs by customer type'!N53</f>
        <v>2661.8972103252263</v>
      </c>
      <c r="O21" s="124">
        <f>'Inputs by customer type'!O53</f>
        <v>4932.2995876733112</v>
      </c>
      <c r="P21" s="124">
        <f>'Inputs by customer type'!P53</f>
        <v>0</v>
      </c>
      <c r="Q21" s="83"/>
      <c r="R21" s="124">
        <f>'Inputs by customer type'!R53</f>
        <v>0</v>
      </c>
      <c r="S21" s="124">
        <f>'Inputs by customer type'!S53</f>
        <v>0</v>
      </c>
      <c r="T21" s="124">
        <f>'Inputs by customer type'!T53</f>
        <v>0</v>
      </c>
      <c r="U21" s="124">
        <f>'Inputs by customer type'!U53</f>
        <v>0</v>
      </c>
      <c r="V21" s="124">
        <f>'Inputs by customer type'!V53</f>
        <v>0</v>
      </c>
      <c r="W21" s="124">
        <f>'Inputs by customer type'!W53</f>
        <v>0</v>
      </c>
      <c r="X21" s="124">
        <f>'Inputs by customer type'!X53</f>
        <v>0</v>
      </c>
      <c r="Y21" s="124">
        <f>'Inputs by customer type'!Y53</f>
        <v>0</v>
      </c>
    </row>
    <row r="22" spans="5:27" x14ac:dyDescent="0.25">
      <c r="E22" s="88"/>
      <c r="F22" t="s">
        <v>377</v>
      </c>
      <c r="G22" t="s">
        <v>261</v>
      </c>
      <c r="H22" s="51"/>
      <c r="J22" s="120">
        <f>'Inputs by customer type'!J54</f>
        <v>0</v>
      </c>
      <c r="K22" s="120">
        <f>'Inputs by customer type'!K54</f>
        <v>0</v>
      </c>
      <c r="L22" s="120">
        <f>'Inputs by customer type'!L54</f>
        <v>0</v>
      </c>
      <c r="M22" s="120">
        <f>'Inputs by customer type'!M54</f>
        <v>0</v>
      </c>
      <c r="N22" s="120">
        <f>'Inputs by customer type'!N54</f>
        <v>0</v>
      </c>
      <c r="O22" s="120">
        <f>'Inputs by customer type'!O54</f>
        <v>0</v>
      </c>
      <c r="P22" s="120">
        <f>'Inputs by customer type'!P54</f>
        <v>27651.512328111996</v>
      </c>
      <c r="Q22" s="79"/>
      <c r="R22" s="120">
        <f>'Inputs by customer type'!R54</f>
        <v>0</v>
      </c>
      <c r="S22" s="120">
        <f>'Inputs by customer type'!S54</f>
        <v>0</v>
      </c>
      <c r="T22" s="120">
        <f>'Inputs by customer type'!T54</f>
        <v>0</v>
      </c>
      <c r="U22" s="120">
        <f>'Inputs by customer type'!U54</f>
        <v>0</v>
      </c>
      <c r="V22" s="120">
        <f>'Inputs by customer type'!V54</f>
        <v>0</v>
      </c>
      <c r="W22" s="120">
        <f>'Inputs by customer type'!W54</f>
        <v>0</v>
      </c>
      <c r="X22" s="120">
        <f>'Inputs by customer type'!X54</f>
        <v>44850.570248000004</v>
      </c>
      <c r="Y22" s="120">
        <f>'Inputs by customer type'!Y54</f>
        <v>44850.570248000004</v>
      </c>
    </row>
    <row r="23" spans="5:27" x14ac:dyDescent="0.25">
      <c r="E23" s="88"/>
      <c r="F23" s="37" t="s">
        <v>553</v>
      </c>
      <c r="G23" s="37" t="s">
        <v>264</v>
      </c>
      <c r="H23" s="37"/>
      <c r="I23" s="37"/>
      <c r="J23" s="317"/>
      <c r="K23" s="317"/>
      <c r="L23" s="317"/>
      <c r="M23" s="317"/>
      <c r="N23" s="317"/>
      <c r="O23" s="317"/>
      <c r="P23" s="317"/>
      <c r="Q23" s="221">
        <f>'Inputs by customer type'!Q56</f>
        <v>524.30183498999338</v>
      </c>
      <c r="R23" s="317"/>
      <c r="S23" s="317"/>
      <c r="T23" s="317"/>
      <c r="U23" s="317"/>
      <c r="V23" s="317"/>
      <c r="W23" s="317"/>
      <c r="X23" s="317"/>
      <c r="Y23" s="317"/>
    </row>
    <row r="24" spans="5:27" x14ac:dyDescent="0.25">
      <c r="J24" s="89"/>
      <c r="K24" s="89"/>
      <c r="L24" s="89"/>
      <c r="M24" s="89"/>
      <c r="N24" s="89"/>
      <c r="O24" s="89"/>
      <c r="P24" s="89"/>
      <c r="Q24" s="89"/>
      <c r="R24" s="89"/>
      <c r="S24" s="89"/>
      <c r="T24" s="89"/>
      <c r="U24" s="89"/>
      <c r="V24" s="89"/>
      <c r="W24" s="89"/>
      <c r="X24" s="89"/>
      <c r="Y24" s="89"/>
    </row>
    <row r="25" spans="5:27" x14ac:dyDescent="0.25">
      <c r="E25" s="88" t="s">
        <v>554</v>
      </c>
      <c r="J25" s="89"/>
      <c r="K25" s="89"/>
      <c r="L25" s="89"/>
      <c r="M25" s="89"/>
      <c r="N25" s="89"/>
      <c r="O25" s="89"/>
      <c r="P25" s="89"/>
      <c r="Q25" s="89"/>
      <c r="R25" s="89"/>
      <c r="S25" s="89"/>
      <c r="T25" s="89"/>
      <c r="U25" s="89"/>
      <c r="V25" s="89"/>
      <c r="W25" s="89"/>
      <c r="X25" s="89"/>
      <c r="Y25" s="89"/>
    </row>
    <row r="26" spans="5:27" x14ac:dyDescent="0.25">
      <c r="E26" s="29" t="s">
        <v>555</v>
      </c>
      <c r="I26" t="s">
        <v>154</v>
      </c>
      <c r="J26" s="89"/>
      <c r="K26" s="89"/>
      <c r="L26" s="89"/>
      <c r="M26" s="89"/>
      <c r="N26" s="89"/>
      <c r="O26" s="89"/>
      <c r="P26" s="89"/>
      <c r="Q26" s="89"/>
      <c r="R26" s="89"/>
      <c r="S26" s="89"/>
      <c r="T26" s="89"/>
      <c r="U26" s="89"/>
      <c r="V26" s="89"/>
      <c r="W26" s="89"/>
      <c r="X26" s="89"/>
      <c r="Y26" s="89"/>
      <c r="AA26" t="s">
        <v>1070</v>
      </c>
    </row>
    <row r="27" spans="5:27" x14ac:dyDescent="0.25">
      <c r="F27" s="23" t="s">
        <v>376</v>
      </c>
      <c r="G27" s="23" t="s">
        <v>277</v>
      </c>
      <c r="H27" s="129"/>
      <c r="I27" s="23"/>
      <c r="J27" s="126">
        <f t="shared" ref="J27:Y27" si="0">J21 * J$16</f>
        <v>231224044.63063654</v>
      </c>
      <c r="K27" s="126">
        <f t="shared" si="0"/>
        <v>0</v>
      </c>
      <c r="L27" s="126">
        <f t="shared" si="0"/>
        <v>43159493.192115173</v>
      </c>
      <c r="M27" s="126">
        <f t="shared" si="0"/>
        <v>0</v>
      </c>
      <c r="N27" s="126">
        <f t="shared" si="0"/>
        <v>17816295.324022863</v>
      </c>
      <c r="O27" s="126">
        <f t="shared" si="0"/>
        <v>551512.2328295256</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25">
      <c r="F28" t="s">
        <v>377</v>
      </c>
      <c r="G28" t="s">
        <v>277</v>
      </c>
      <c r="H28" s="63"/>
      <c r="J28" s="98">
        <f t="shared" ref="J28:Y28" si="1">J22 * J$16</f>
        <v>0</v>
      </c>
      <c r="K28" s="98">
        <f t="shared" si="1"/>
        <v>0</v>
      </c>
      <c r="L28" s="98">
        <f t="shared" si="1"/>
        <v>0</v>
      </c>
      <c r="M28" s="98">
        <f t="shared" si="1"/>
        <v>0</v>
      </c>
      <c r="N28" s="98">
        <f t="shared" si="1"/>
        <v>0</v>
      </c>
      <c r="O28" s="98">
        <f t="shared" si="1"/>
        <v>0</v>
      </c>
      <c r="P28" s="98">
        <f t="shared" si="1"/>
        <v>19169832.996481262</v>
      </c>
      <c r="Q28" s="98">
        <f t="shared" si="1"/>
        <v>0</v>
      </c>
      <c r="R28" s="98">
        <f t="shared" si="1"/>
        <v>0</v>
      </c>
      <c r="S28" s="98">
        <f t="shared" si="1"/>
        <v>0</v>
      </c>
      <c r="T28" s="98">
        <f t="shared" si="1"/>
        <v>0</v>
      </c>
      <c r="U28" s="98">
        <f t="shared" si="1"/>
        <v>0</v>
      </c>
      <c r="V28" s="98">
        <f t="shared" si="1"/>
        <v>0</v>
      </c>
      <c r="W28" s="98">
        <f t="shared" si="1"/>
        <v>0</v>
      </c>
      <c r="X28" s="98">
        <f t="shared" si="1"/>
        <v>15946907.690104527</v>
      </c>
      <c r="Y28" s="98">
        <f t="shared" si="1"/>
        <v>0</v>
      </c>
    </row>
    <row r="29" spans="5:27" x14ac:dyDescent="0.25">
      <c r="F29" s="37" t="s">
        <v>553</v>
      </c>
      <c r="G29" s="37" t="s">
        <v>277</v>
      </c>
      <c r="H29" s="130"/>
      <c r="I29" s="37"/>
      <c r="J29" s="317"/>
      <c r="K29" s="317"/>
      <c r="L29" s="317"/>
      <c r="M29" s="317"/>
      <c r="N29" s="317"/>
      <c r="O29" s="317"/>
      <c r="P29" s="317"/>
      <c r="Q29" s="153">
        <f t="shared" ref="Q29" si="2">Q23 * Q$17</f>
        <v>48998706.911039904</v>
      </c>
      <c r="R29" s="317"/>
      <c r="S29" s="317"/>
      <c r="T29" s="317"/>
      <c r="U29" s="317"/>
      <c r="V29" s="317"/>
      <c r="W29" s="317"/>
      <c r="X29" s="317"/>
      <c r="Y29" s="317"/>
    </row>
    <row r="30" spans="5:27" x14ac:dyDescent="0.25">
      <c r="J30" s="89"/>
      <c r="K30" s="89"/>
      <c r="L30" s="89"/>
      <c r="M30" s="89"/>
      <c r="N30" s="89"/>
      <c r="O30" s="89"/>
      <c r="P30" s="89"/>
      <c r="Q30" s="89"/>
      <c r="R30" s="89"/>
      <c r="S30" s="89"/>
      <c r="T30" s="89"/>
      <c r="U30" s="89"/>
      <c r="V30" s="89"/>
      <c r="W30" s="89"/>
      <c r="X30" s="89"/>
      <c r="Y30" s="89"/>
    </row>
    <row r="31" spans="5:27" x14ac:dyDescent="0.25">
      <c r="E31" s="88" t="s">
        <v>556</v>
      </c>
      <c r="J31" s="89"/>
      <c r="K31" s="89"/>
      <c r="L31" s="89"/>
      <c r="M31" s="89"/>
      <c r="N31" s="89"/>
      <c r="O31" s="89"/>
      <c r="P31" s="89"/>
      <c r="Q31" s="89"/>
      <c r="R31" s="89"/>
      <c r="S31" s="89"/>
      <c r="T31" s="89"/>
      <c r="U31" s="89"/>
      <c r="V31" s="89"/>
      <c r="W31" s="89"/>
      <c r="X31" s="89"/>
      <c r="Y31" s="89"/>
    </row>
    <row r="32" spans="5:27" x14ac:dyDescent="0.25">
      <c r="E32" s="29" t="s">
        <v>557</v>
      </c>
      <c r="H32" s="128" t="s">
        <v>545</v>
      </c>
      <c r="J32" s="89"/>
      <c r="K32" s="89"/>
      <c r="L32" s="89"/>
      <c r="M32" s="89"/>
      <c r="N32" s="89"/>
      <c r="O32" s="89"/>
      <c r="P32" s="89"/>
      <c r="Q32" s="89"/>
      <c r="R32" s="89"/>
      <c r="S32" s="89"/>
      <c r="T32" s="89"/>
      <c r="U32" s="89"/>
      <c r="V32" s="89"/>
      <c r="W32" s="89"/>
      <c r="X32" s="89"/>
      <c r="Y32" s="89"/>
    </row>
    <row r="33" spans="2:43" x14ac:dyDescent="0.25">
      <c r="F33" s="23" t="s">
        <v>558</v>
      </c>
      <c r="G33" s="23" t="s">
        <v>277</v>
      </c>
      <c r="H33" s="101">
        <f>SUM(J33:Y33)</f>
        <v>341750052.29064399</v>
      </c>
      <c r="I33" s="23"/>
      <c r="J33" s="158">
        <f t="shared" ref="J33:Y33" si="3">J27 +J29</f>
        <v>231224044.63063654</v>
      </c>
      <c r="K33" s="158">
        <f t="shared" si="3"/>
        <v>0</v>
      </c>
      <c r="L33" s="158">
        <f t="shared" si="3"/>
        <v>43159493.192115173</v>
      </c>
      <c r="M33" s="158">
        <f t="shared" si="3"/>
        <v>0</v>
      </c>
      <c r="N33" s="158">
        <f t="shared" si="3"/>
        <v>17816295.324022863</v>
      </c>
      <c r="O33" s="158">
        <f t="shared" si="3"/>
        <v>551512.2328295256</v>
      </c>
      <c r="P33" s="158">
        <f t="shared" si="3"/>
        <v>0</v>
      </c>
      <c r="Q33" s="158">
        <f t="shared" si="3"/>
        <v>48998706.911039904</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25">
      <c r="F34" s="37" t="s">
        <v>559</v>
      </c>
      <c r="G34" s="37" t="s">
        <v>277</v>
      </c>
      <c r="H34" s="131">
        <f>SUM(J34:Y34)</f>
        <v>35116740.686585791</v>
      </c>
      <c r="I34" s="37"/>
      <c r="J34" s="167">
        <f t="shared" ref="J34:Y34" si="4">J28</f>
        <v>0</v>
      </c>
      <c r="K34" s="167">
        <f t="shared" si="4"/>
        <v>0</v>
      </c>
      <c r="L34" s="167">
        <f t="shared" si="4"/>
        <v>0</v>
      </c>
      <c r="M34" s="167">
        <f t="shared" si="4"/>
        <v>0</v>
      </c>
      <c r="N34" s="167">
        <f t="shared" si="4"/>
        <v>0</v>
      </c>
      <c r="O34" s="167">
        <f t="shared" si="4"/>
        <v>0</v>
      </c>
      <c r="P34" s="167">
        <f t="shared" si="4"/>
        <v>19169832.996481262</v>
      </c>
      <c r="Q34" s="167">
        <f t="shared" si="4"/>
        <v>0</v>
      </c>
      <c r="R34" s="167">
        <f t="shared" si="4"/>
        <v>0</v>
      </c>
      <c r="S34" s="167">
        <f t="shared" si="4"/>
        <v>0</v>
      </c>
      <c r="T34" s="167">
        <f t="shared" si="4"/>
        <v>0</v>
      </c>
      <c r="U34" s="167">
        <f t="shared" si="4"/>
        <v>0</v>
      </c>
      <c r="V34" s="167">
        <f t="shared" si="4"/>
        <v>0</v>
      </c>
      <c r="W34" s="167">
        <f t="shared" si="4"/>
        <v>0</v>
      </c>
      <c r="X34" s="167">
        <f t="shared" si="4"/>
        <v>15946907.690104527</v>
      </c>
      <c r="Y34" s="167">
        <f t="shared" si="4"/>
        <v>0</v>
      </c>
    </row>
    <row r="36" spans="2:43" x14ac:dyDescent="0.25">
      <c r="B36" s="30" t="s">
        <v>231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25">
      <c r="E38" t="s">
        <v>232</v>
      </c>
      <c r="G38" s="6" t="s">
        <v>55</v>
      </c>
      <c r="H38" s="26">
        <f t="array" ref="H38">SUM(IF(ISERROR(H16:Y35), 1))</f>
        <v>0</v>
      </c>
    </row>
    <row r="40" spans="2:43" x14ac:dyDescent="0.25">
      <c r="B40" s="30" t="s">
        <v>106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H38">
    <cfRule type="cellIs" dxfId="134" priority="17" operator="greaterThan">
      <formula>0</formula>
    </cfRule>
  </conditionalFormatting>
  <conditionalFormatting sqref="A4:I4 Z4:XFD4">
    <cfRule type="expression" dxfId="133" priority="9">
      <formula>LEFT($A$4,1) &lt;&gt; "0"</formula>
    </cfRule>
  </conditionalFormatting>
  <conditionalFormatting sqref="N4:P4">
    <cfRule type="expression" dxfId="132" priority="8">
      <formula>LEFT($A$4,1) &lt;&gt; "0"</formula>
    </cfRule>
  </conditionalFormatting>
  <conditionalFormatting sqref="L4:M4">
    <cfRule type="expression" dxfId="131" priority="7">
      <formula>LEFT($A$4,1) &lt;&gt; "0"</formula>
    </cfRule>
  </conditionalFormatting>
  <conditionalFormatting sqref="J4:K4">
    <cfRule type="expression" dxfId="130" priority="6">
      <formula>LEFT($A$4,1) &lt;&gt; "0"</formula>
    </cfRule>
  </conditionalFormatting>
  <conditionalFormatting sqref="Q4">
    <cfRule type="expression" dxfId="129" priority="5">
      <formula>LEFT($A$4,1) &lt;&gt; "0"</formula>
    </cfRule>
  </conditionalFormatting>
  <conditionalFormatting sqref="R4:S4">
    <cfRule type="expression" dxfId="128" priority="4">
      <formula>LEFT($A$4,1) &lt;&gt; "0"</formula>
    </cfRule>
  </conditionalFormatting>
  <conditionalFormatting sqref="T4:U4">
    <cfRule type="expression" dxfId="127" priority="3">
      <formula>LEFT($A$4,1) &lt;&gt; "0"</formula>
    </cfRule>
  </conditionalFormatting>
  <conditionalFormatting sqref="V4:W4">
    <cfRule type="expression" dxfId="126" priority="2">
      <formula>LEFT($A$4,1) &lt;&gt; "0"</formula>
    </cfRule>
  </conditionalFormatting>
  <conditionalFormatting sqref="X4:Y4">
    <cfRule type="expression" dxfId="125"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R29:Y29 J29:P29 J16:Y17 J21:Y23" xr:uid="{00000000-0002-0000-0F00-000000000000}">
      <formula1>0</formula1>
    </dataValidation>
    <dataValidation type="textLength" operator="equal" allowBlank="1" showInputMessage="1" showErrorMessage="1" error="This cell is not in use." sqref="Y23 Y29" xr:uid="{00000000-0002-0000-0F00-000001000000}">
      <formula1>0</formula1>
    </dataValidation>
  </dataValidations>
  <hyperlinks>
    <hyperlink ref="B5:F5" location="'Model map'!A1" display="Click here to return to model map" xr:uid="{00000000-0004-0000-0F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7109375" hidden="1"/>
  </cols>
  <sheetData>
    <row r="1" spans="1:23" s="1" customFormat="1" x14ac:dyDescent="0.25">
      <c r="A1" s="1" t="str">
        <f ca="1">MID(CELL("filename",A1),FIND("]",CELL("filename",A1))+1,255)</f>
        <v>Unit costs</v>
      </c>
    </row>
    <row r="2" spans="1:23" s="1" customFormat="1" x14ac:dyDescent="0.25">
      <c r="A2" s="1" t="str">
        <f>Cover!D21&amp;" - "&amp;Cover!D23</f>
        <v xml:space="preserve">SHEPD  - Final </v>
      </c>
    </row>
    <row r="3" spans="1:23" s="5" customFormat="1" x14ac:dyDescent="0.25">
      <c r="A3" s="5" t="str">
        <f>Cover!D2&amp;" - "&amp;Cover!D8&amp;" v"&amp;Cover!D10&amp;" - "&amp;Cover!D19</f>
        <v>CDCM charging model - Release for charge setting v5 - 2021/22</v>
      </c>
    </row>
    <row r="4" spans="1:23" x14ac:dyDescent="0.25">
      <c r="A4" s="12" t="str">
        <f>H131 &amp; IF(H131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I5" s="113"/>
      <c r="J5" s="93"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25">
      <c r="H6" s="3"/>
      <c r="I6" s="3"/>
      <c r="J6" s="3"/>
      <c r="K6" s="3"/>
      <c r="L6" s="3"/>
      <c r="M6" s="3"/>
      <c r="N6" s="3"/>
      <c r="O6" s="3"/>
      <c r="P6" s="3"/>
      <c r="Q6" s="3"/>
      <c r="R6" s="3"/>
      <c r="S6" s="3"/>
      <c r="T6" s="3"/>
      <c r="U6" s="3"/>
      <c r="W6" s="3"/>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560</v>
      </c>
      <c r="D9" s="29"/>
    </row>
    <row r="10" spans="1:23" x14ac:dyDescent="0.25">
      <c r="C10" s="29" t="s">
        <v>561</v>
      </c>
      <c r="D10" s="29"/>
    </row>
    <row r="11" spans="1:23" x14ac:dyDescent="0.25">
      <c r="C11" s="29"/>
      <c r="D11" s="29" t="s">
        <v>562</v>
      </c>
    </row>
    <row r="12" spans="1:23" x14ac:dyDescent="0.25">
      <c r="C12" s="29"/>
      <c r="D12" s="29" t="s">
        <v>563</v>
      </c>
    </row>
    <row r="13" spans="1:23" x14ac:dyDescent="0.25">
      <c r="C13" s="29" t="s">
        <v>564</v>
      </c>
      <c r="D13" s="29"/>
    </row>
    <row r="15" spans="1:23" x14ac:dyDescent="0.25">
      <c r="B15" s="30" t="s">
        <v>565</v>
      </c>
      <c r="C15" s="30"/>
      <c r="D15" s="30"/>
      <c r="E15" s="30"/>
      <c r="F15" s="30"/>
      <c r="G15" s="30"/>
      <c r="H15" s="30"/>
      <c r="I15" s="30"/>
      <c r="J15" s="30"/>
      <c r="K15" s="30"/>
      <c r="L15" s="30"/>
      <c r="M15" s="30"/>
      <c r="N15" s="30"/>
      <c r="O15" s="30"/>
      <c r="P15" s="30"/>
      <c r="Q15" s="30"/>
      <c r="R15" s="30"/>
      <c r="S15" s="30"/>
      <c r="T15" s="30"/>
      <c r="U15" s="30"/>
      <c r="V15" s="30"/>
      <c r="W15" s="30"/>
    </row>
    <row r="16" spans="1:23" x14ac:dyDescent="0.25">
      <c r="H16" s="3"/>
      <c r="I16" s="3"/>
      <c r="J16" s="3"/>
      <c r="K16" s="3"/>
      <c r="L16" s="3"/>
      <c r="M16" s="3"/>
      <c r="N16" s="3"/>
      <c r="O16" s="3"/>
      <c r="P16" s="3"/>
      <c r="Q16" s="3"/>
      <c r="R16" s="3"/>
      <c r="S16" s="3"/>
      <c r="T16" s="3"/>
      <c r="U16" s="3"/>
      <c r="W16" s="3"/>
    </row>
    <row r="17" spans="3:25" x14ac:dyDescent="0.25">
      <c r="C17" s="29" t="s">
        <v>566</v>
      </c>
    </row>
    <row r="18" spans="3:25" x14ac:dyDescent="0.25">
      <c r="H18" s="3"/>
      <c r="I18" s="3"/>
      <c r="J18" s="3"/>
      <c r="K18" s="3"/>
      <c r="L18" s="3"/>
      <c r="M18" s="3"/>
      <c r="N18" s="3"/>
      <c r="O18" s="3"/>
      <c r="P18" s="3"/>
      <c r="Q18" s="3"/>
      <c r="R18" s="3"/>
      <c r="S18" s="3"/>
      <c r="T18" s="3"/>
      <c r="U18" s="3"/>
      <c r="W18" s="3"/>
    </row>
    <row r="19" spans="3:25" x14ac:dyDescent="0.25">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25">
      <c r="H20" s="3"/>
    </row>
    <row r="21" spans="3:25" x14ac:dyDescent="0.25">
      <c r="D21" s="29" t="s">
        <v>567</v>
      </c>
      <c r="I21" s="3" t="s">
        <v>154</v>
      </c>
      <c r="J21" s="3"/>
      <c r="K21" s="3"/>
      <c r="L21" s="3"/>
      <c r="M21" s="3"/>
      <c r="N21" s="3"/>
      <c r="O21" s="3"/>
      <c r="P21" s="3"/>
      <c r="Q21" s="3"/>
      <c r="R21" s="3"/>
      <c r="S21" s="3"/>
      <c r="T21" s="3"/>
      <c r="U21" s="3"/>
      <c r="W21" s="3" t="s">
        <v>165</v>
      </c>
    </row>
    <row r="22" spans="3:25" x14ac:dyDescent="0.25">
      <c r="D22" s="29"/>
    </row>
    <row r="23" spans="3:25" x14ac:dyDescent="0.25">
      <c r="D23" s="88"/>
      <c r="E23" s="28" t="s">
        <v>353</v>
      </c>
      <c r="G23" s="28" t="s">
        <v>167</v>
      </c>
      <c r="H23" s="116">
        <f>'General inputs'!H91</f>
        <v>3.6900000000000002E-2</v>
      </c>
      <c r="I23" s="3"/>
      <c r="J23" s="3"/>
      <c r="K23" s="3"/>
      <c r="L23" s="3"/>
      <c r="M23" s="3"/>
      <c r="N23" s="3"/>
      <c r="O23" s="3"/>
      <c r="P23" s="3"/>
      <c r="Q23" s="3"/>
      <c r="R23" s="3"/>
      <c r="S23" s="3"/>
      <c r="T23" s="3"/>
      <c r="U23" s="3"/>
    </row>
    <row r="24" spans="3:25" x14ac:dyDescent="0.25">
      <c r="D24" s="88"/>
      <c r="E24" s="28" t="s">
        <v>163</v>
      </c>
      <c r="G24" s="28" t="s">
        <v>164</v>
      </c>
      <c r="H24" s="52">
        <f>'Fixed inputs'!H35</f>
        <v>40</v>
      </c>
      <c r="I24" s="3"/>
      <c r="J24" s="3"/>
      <c r="K24" s="3"/>
      <c r="L24" s="3"/>
      <c r="M24" s="3"/>
      <c r="N24" s="3"/>
      <c r="O24" s="3"/>
      <c r="P24" s="3"/>
      <c r="Q24" s="3"/>
      <c r="R24" s="3"/>
      <c r="S24" s="3"/>
      <c r="T24" s="3"/>
      <c r="U24" s="3"/>
      <c r="W24" s="3"/>
    </row>
    <row r="25" spans="3:25" x14ac:dyDescent="0.25">
      <c r="E25" s="28" t="s">
        <v>568</v>
      </c>
      <c r="G25" s="28" t="s">
        <v>167</v>
      </c>
      <c r="H25" s="176">
        <f>H23 / (1 - (1 + H23) ^ -H24)</f>
        <v>4.8216791977211342E-2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25">
      <c r="E28" s="32"/>
      <c r="F28" s="115"/>
      <c r="H28" s="3"/>
      <c r="I28" s="3"/>
      <c r="J28" s="3"/>
      <c r="K28" s="3"/>
      <c r="L28" s="3"/>
      <c r="M28" s="3"/>
      <c r="N28" s="3"/>
      <c r="O28" s="3"/>
      <c r="P28" s="3"/>
      <c r="Q28" s="3"/>
      <c r="R28" s="3"/>
      <c r="S28" s="3"/>
      <c r="T28" s="3"/>
      <c r="U28" s="3"/>
    </row>
    <row r="29" spans="3:25" x14ac:dyDescent="0.25">
      <c r="D29" s="29" t="s">
        <v>569</v>
      </c>
      <c r="F29" s="115"/>
      <c r="H29" s="3"/>
      <c r="I29" s="3"/>
      <c r="J29" s="3"/>
      <c r="K29" s="3"/>
      <c r="L29" s="3"/>
      <c r="M29" s="3"/>
      <c r="N29" s="3"/>
      <c r="O29" s="3"/>
      <c r="P29" s="3"/>
      <c r="Q29" s="3"/>
      <c r="R29" s="3"/>
      <c r="S29" s="3"/>
      <c r="T29" s="3"/>
      <c r="U29" s="3"/>
    </row>
    <row r="30" spans="3:25" x14ac:dyDescent="0.25">
      <c r="D30" s="29"/>
      <c r="F30" s="115"/>
      <c r="H30" s="3"/>
      <c r="I30" s="3"/>
      <c r="J30" s="3"/>
      <c r="K30" s="3"/>
      <c r="L30" s="3"/>
      <c r="M30" s="3"/>
      <c r="N30" s="3"/>
      <c r="O30" s="3"/>
      <c r="P30" s="3"/>
      <c r="Q30" s="3"/>
      <c r="R30" s="3"/>
      <c r="S30" s="3"/>
      <c r="T30" s="3"/>
      <c r="U30" s="3"/>
    </row>
    <row r="31" spans="3:25" x14ac:dyDescent="0.25">
      <c r="E31" t="s">
        <v>570</v>
      </c>
      <c r="F31" s="119"/>
      <c r="G31" s="28" t="s">
        <v>571</v>
      </c>
      <c r="H31" s="3"/>
      <c r="I31" s="3"/>
      <c r="J31" s="79"/>
      <c r="K31" s="120">
        <f>'Load &amp; loss characteristics'!K29</f>
        <v>1</v>
      </c>
      <c r="L31" s="120">
        <f>'Load &amp; loss characteristics'!L29</f>
        <v>1</v>
      </c>
      <c r="M31" s="120">
        <f>'Load &amp; loss characteristics'!M29</f>
        <v>1</v>
      </c>
      <c r="N31" s="120">
        <f>'Load &amp; loss characteristics'!N29</f>
        <v>1.014</v>
      </c>
      <c r="O31" s="120">
        <f>'Load &amp; loss characteristics'!O29</f>
        <v>1.026</v>
      </c>
      <c r="P31" s="120">
        <f>'Load &amp; loss characteristics'!P29</f>
        <v>1.026</v>
      </c>
      <c r="Q31" s="120">
        <f>'Load &amp; loss characteristics'!Q29</f>
        <v>1.036</v>
      </c>
      <c r="R31" s="120">
        <f>'Load &amp; loss characteristics'!R29</f>
        <v>1.0589999999999999</v>
      </c>
      <c r="S31" s="120">
        <f>'Load &amp; loss characteristics'!S29</f>
        <v>1.093</v>
      </c>
      <c r="T31" s="79"/>
      <c r="U31" s="79"/>
    </row>
    <row r="32" spans="3:25" x14ac:dyDescent="0.25">
      <c r="E32" t="s">
        <v>572</v>
      </c>
      <c r="F32" s="177"/>
      <c r="G32" s="28" t="s">
        <v>167</v>
      </c>
      <c r="H32" s="3"/>
      <c r="I32" s="3"/>
      <c r="J32" s="178"/>
      <c r="K32" s="179">
        <f>'Load &amp; loss characteristics'!$K$23</f>
        <v>4.8999999999999932E-2</v>
      </c>
      <c r="L32" s="180"/>
      <c r="M32" s="180"/>
      <c r="N32" s="180"/>
      <c r="O32" s="180"/>
      <c r="P32" s="178"/>
      <c r="Q32" s="180"/>
      <c r="R32" s="180"/>
      <c r="S32" s="180"/>
      <c r="T32" s="178"/>
      <c r="U32" s="178"/>
      <c r="Y32" s="181"/>
    </row>
    <row r="33" spans="3:23" x14ac:dyDescent="0.25">
      <c r="E33" t="s">
        <v>573</v>
      </c>
      <c r="F33" s="119"/>
      <c r="G33" s="28" t="s">
        <v>167</v>
      </c>
      <c r="H33" s="3"/>
      <c r="I33" s="3"/>
      <c r="J33" s="70"/>
      <c r="K33" s="176">
        <f xml:space="preserve"> 1 / (1 + K32)</f>
        <v>0.95328884652049573</v>
      </c>
      <c r="L33" s="180"/>
      <c r="M33" s="180"/>
      <c r="N33" s="180"/>
      <c r="O33" s="180"/>
      <c r="P33" s="180"/>
      <c r="Q33" s="180"/>
      <c r="R33" s="180"/>
      <c r="S33" s="180"/>
      <c r="T33" s="178"/>
      <c r="U33" s="178"/>
      <c r="W33" s="3"/>
    </row>
    <row r="34" spans="3:23" x14ac:dyDescent="0.25">
      <c r="F34" s="119"/>
      <c r="G34" s="28"/>
      <c r="H34" s="3"/>
      <c r="I34" s="3"/>
      <c r="J34" s="3"/>
      <c r="K34" s="3"/>
      <c r="L34" s="3"/>
      <c r="M34" s="3"/>
      <c r="N34" s="3"/>
      <c r="O34" s="3"/>
      <c r="P34" s="3"/>
      <c r="Q34" s="3"/>
      <c r="R34" s="3"/>
      <c r="S34" s="3"/>
      <c r="T34" s="3"/>
      <c r="U34" s="3"/>
      <c r="V34" s="3"/>
      <c r="W34" s="3"/>
    </row>
    <row r="35" spans="3:23" x14ac:dyDescent="0.25">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25">
      <c r="E36" s="32"/>
      <c r="F36" s="115"/>
      <c r="H36" s="3"/>
      <c r="J36" s="3"/>
      <c r="K36" s="3"/>
      <c r="L36" s="3"/>
      <c r="M36" s="3"/>
      <c r="N36" s="3"/>
      <c r="O36" s="3"/>
      <c r="P36" s="3"/>
      <c r="Q36" s="3"/>
      <c r="R36" s="3"/>
      <c r="S36" s="3"/>
      <c r="T36" s="3"/>
      <c r="U36" s="3"/>
    </row>
    <row r="37" spans="3:23" x14ac:dyDescent="0.25">
      <c r="D37" s="29" t="s">
        <v>574</v>
      </c>
      <c r="F37" s="115"/>
      <c r="H37" s="3"/>
      <c r="I37" s="3"/>
      <c r="J37" s="3"/>
      <c r="K37" s="3"/>
      <c r="L37" s="3"/>
      <c r="M37" s="3"/>
      <c r="N37" s="3"/>
      <c r="O37" s="3"/>
      <c r="P37" s="3"/>
      <c r="Q37" s="3"/>
      <c r="R37" s="3"/>
      <c r="S37" s="3"/>
      <c r="T37" s="3"/>
      <c r="U37" s="3"/>
      <c r="W37" s="3"/>
    </row>
    <row r="38" spans="3:23" x14ac:dyDescent="0.25">
      <c r="D38" s="29"/>
      <c r="F38" s="115"/>
      <c r="H38" s="3"/>
      <c r="I38" s="3"/>
      <c r="J38" s="3"/>
      <c r="K38" s="3"/>
      <c r="L38" s="3"/>
      <c r="M38" s="3"/>
      <c r="N38" s="3"/>
      <c r="O38" s="3"/>
      <c r="P38" s="3"/>
      <c r="Q38" s="3"/>
      <c r="R38" s="3"/>
      <c r="S38" s="3"/>
      <c r="T38" s="3"/>
      <c r="U38" s="3"/>
      <c r="W38" s="3"/>
    </row>
    <row r="39" spans="3:23" x14ac:dyDescent="0.25">
      <c r="D39" s="88"/>
      <c r="E39" t="s">
        <v>171</v>
      </c>
      <c r="F39" s="119"/>
      <c r="G39" s="28" t="s">
        <v>172</v>
      </c>
      <c r="H39" s="120">
        <f>'Fixed inputs'!H41</f>
        <v>500</v>
      </c>
      <c r="I39" s="3"/>
      <c r="J39" s="79"/>
      <c r="K39" s="79"/>
      <c r="L39" s="79"/>
      <c r="M39" s="79"/>
      <c r="N39" s="79"/>
      <c r="O39" s="79"/>
      <c r="P39" s="79"/>
      <c r="Q39" s="79"/>
      <c r="R39" s="79"/>
      <c r="S39" s="79"/>
      <c r="T39" s="79"/>
      <c r="U39" s="79"/>
      <c r="W39" s="3"/>
    </row>
    <row r="40" spans="3:23" x14ac:dyDescent="0.25">
      <c r="E40" t="s">
        <v>575</v>
      </c>
      <c r="F40" s="119"/>
      <c r="G40" s="28" t="s">
        <v>172</v>
      </c>
      <c r="H40" s="3"/>
      <c r="I40" s="3" t="s">
        <v>154</v>
      </c>
      <c r="J40" s="79"/>
      <c r="K40" s="182">
        <f t="shared" ref="K40:S40" si="0">$H$39 * $K$33 / K31</f>
        <v>476.64442326024789</v>
      </c>
      <c r="L40" s="182">
        <f t="shared" si="0"/>
        <v>476.64442326024789</v>
      </c>
      <c r="M40" s="182">
        <f t="shared" si="0"/>
        <v>476.64442326024789</v>
      </c>
      <c r="N40" s="182">
        <f t="shared" si="0"/>
        <v>470.06353378722673</v>
      </c>
      <c r="O40" s="182">
        <f t="shared" si="0"/>
        <v>464.56571467860419</v>
      </c>
      <c r="P40" s="182">
        <f t="shared" si="0"/>
        <v>464.56571467860419</v>
      </c>
      <c r="Q40" s="182">
        <f t="shared" si="0"/>
        <v>460.08148963344388</v>
      </c>
      <c r="R40" s="182">
        <f t="shared" si="0"/>
        <v>450.0891626631236</v>
      </c>
      <c r="S40" s="182">
        <f t="shared" si="0"/>
        <v>436.08821890233111</v>
      </c>
      <c r="T40" s="79"/>
      <c r="U40" s="79"/>
      <c r="W40" s="3" t="s">
        <v>576</v>
      </c>
    </row>
    <row r="41" spans="3:23" x14ac:dyDescent="0.25">
      <c r="F41" s="119"/>
      <c r="G41" s="28"/>
      <c r="H41" s="3"/>
      <c r="I41" s="3"/>
      <c r="J41" s="3"/>
      <c r="K41" s="3"/>
      <c r="L41" s="3"/>
      <c r="M41" s="3"/>
      <c r="N41" s="3"/>
      <c r="O41" s="3"/>
      <c r="P41" s="3"/>
      <c r="Q41" s="3"/>
      <c r="R41" s="3"/>
      <c r="S41" s="3"/>
      <c r="T41" s="3"/>
      <c r="U41" s="3"/>
      <c r="V41" s="3"/>
      <c r="W41" s="3"/>
    </row>
    <row r="42" spans="3:23" x14ac:dyDescent="0.25">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25">
      <c r="E43" s="32"/>
      <c r="F43" s="115"/>
      <c r="H43" s="3"/>
      <c r="I43" s="3"/>
      <c r="J43" s="3"/>
      <c r="K43" s="3"/>
      <c r="L43" s="3"/>
      <c r="M43" s="3"/>
      <c r="N43" s="3"/>
      <c r="O43" s="3"/>
      <c r="P43" s="3"/>
      <c r="Q43" s="3"/>
      <c r="R43" s="3"/>
      <c r="S43" s="3"/>
      <c r="T43" s="3"/>
      <c r="U43" s="3"/>
      <c r="W43" s="3"/>
    </row>
    <row r="44" spans="3:23" x14ac:dyDescent="0.25">
      <c r="D44" s="29" t="s">
        <v>577</v>
      </c>
      <c r="F44" s="115"/>
      <c r="H44" s="3"/>
      <c r="I44" s="3"/>
      <c r="J44" s="3"/>
      <c r="K44" s="3"/>
      <c r="L44" s="3"/>
      <c r="M44" s="3"/>
      <c r="N44" s="3"/>
      <c r="O44" s="3"/>
      <c r="P44" s="3"/>
      <c r="Q44" s="3"/>
      <c r="R44" s="3"/>
      <c r="S44" s="3"/>
      <c r="T44" s="3"/>
      <c r="U44" s="3"/>
      <c r="W44" s="3"/>
    </row>
    <row r="45" spans="3:23" x14ac:dyDescent="0.25">
      <c r="D45" s="29"/>
      <c r="F45" s="115"/>
      <c r="H45" s="3"/>
      <c r="I45" s="3"/>
      <c r="J45" s="3"/>
      <c r="K45" s="3"/>
      <c r="L45" s="3"/>
      <c r="M45" s="3"/>
      <c r="N45" s="3"/>
      <c r="O45" s="3"/>
      <c r="P45" s="3"/>
      <c r="Q45" s="3"/>
      <c r="R45" s="3"/>
      <c r="S45" s="3"/>
      <c r="T45" s="3"/>
      <c r="U45" s="3"/>
      <c r="W45" s="3"/>
    </row>
    <row r="46" spans="3:23" x14ac:dyDescent="0.25">
      <c r="D46" s="88"/>
      <c r="E46" s="28" t="s">
        <v>281</v>
      </c>
      <c r="G46" s="28" t="s">
        <v>167</v>
      </c>
      <c r="H46" s="3"/>
      <c r="I46" s="3"/>
      <c r="J46" s="180"/>
      <c r="K46" s="180"/>
      <c r="L46" s="180"/>
      <c r="M46" s="180"/>
      <c r="N46" s="180"/>
      <c r="O46" s="180"/>
      <c r="P46" s="179">
        <f>'Inputs by network level'!P17</f>
        <v>0</v>
      </c>
      <c r="Q46" s="180"/>
      <c r="R46" s="180"/>
      <c r="S46" s="180"/>
      <c r="T46" s="180"/>
      <c r="U46" s="180"/>
      <c r="W46" s="3"/>
    </row>
    <row r="47" spans="3:23" x14ac:dyDescent="0.25">
      <c r="E47" s="28" t="s">
        <v>578</v>
      </c>
      <c r="G47" s="28" t="s">
        <v>167</v>
      </c>
      <c r="H47" s="3"/>
      <c r="I47" s="3"/>
      <c r="J47" s="180"/>
      <c r="K47" s="180"/>
      <c r="L47" s="180"/>
      <c r="M47" s="176">
        <f>IF(M46 = "", 1 - $P$46, M46)</f>
        <v>1</v>
      </c>
      <c r="N47" s="176">
        <f>IF(N46 = "", 1 - $P$46, N46)</f>
        <v>1</v>
      </c>
      <c r="O47" s="176">
        <f>IF(O46 = "", 1 - $P$46, O46)</f>
        <v>1</v>
      </c>
      <c r="P47" s="176">
        <f>IF(P46 = "", 1 - $P$46, P46)</f>
        <v>0</v>
      </c>
      <c r="Q47" s="180"/>
      <c r="R47" s="180"/>
      <c r="S47" s="180"/>
      <c r="T47" s="180"/>
      <c r="U47" s="180"/>
      <c r="W47" s="3"/>
    </row>
    <row r="48" spans="3:23" x14ac:dyDescent="0.25">
      <c r="E48" s="28" t="s">
        <v>579</v>
      </c>
      <c r="G48" s="28" t="s">
        <v>172</v>
      </c>
      <c r="H48" s="3"/>
      <c r="I48" s="3"/>
      <c r="J48" s="79"/>
      <c r="K48" s="98">
        <f t="shared" ref="K48:S48" si="1">IF(K47 = "", K40, K47 * K40)</f>
        <v>476.64442326024789</v>
      </c>
      <c r="L48" s="98">
        <f t="shared" si="1"/>
        <v>476.64442326024789</v>
      </c>
      <c r="M48" s="98">
        <f t="shared" si="1"/>
        <v>476.64442326024789</v>
      </c>
      <c r="N48" s="98">
        <f t="shared" si="1"/>
        <v>470.06353378722673</v>
      </c>
      <c r="O48" s="98">
        <f t="shared" si="1"/>
        <v>464.56571467860419</v>
      </c>
      <c r="P48" s="98">
        <f t="shared" si="1"/>
        <v>0</v>
      </c>
      <c r="Q48" s="98">
        <f t="shared" si="1"/>
        <v>460.08148963344388</v>
      </c>
      <c r="R48" s="98">
        <f t="shared" si="1"/>
        <v>450.0891626631236</v>
      </c>
      <c r="S48" s="98">
        <f t="shared" si="1"/>
        <v>436.08821890233111</v>
      </c>
      <c r="T48" s="79"/>
      <c r="U48" s="79"/>
      <c r="W48" s="3"/>
    </row>
    <row r="49" spans="2:23" x14ac:dyDescent="0.25">
      <c r="E49" s="28"/>
      <c r="G49" s="28"/>
      <c r="H49" s="3"/>
      <c r="I49" s="3"/>
      <c r="J49" s="3"/>
      <c r="K49" s="3"/>
      <c r="L49" s="3"/>
      <c r="M49" s="3"/>
      <c r="N49" s="3"/>
      <c r="O49" s="3"/>
      <c r="P49" s="3"/>
      <c r="Q49" s="3"/>
      <c r="R49" s="3"/>
      <c r="S49" s="3"/>
      <c r="T49" s="3"/>
      <c r="U49" s="3"/>
      <c r="V49" s="3"/>
      <c r="W49" s="3"/>
    </row>
    <row r="50" spans="2:23" x14ac:dyDescent="0.25">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25">
      <c r="E51" s="32"/>
      <c r="F51" s="115"/>
      <c r="H51" s="3"/>
      <c r="J51" s="3"/>
      <c r="K51" s="3"/>
      <c r="L51" s="113"/>
      <c r="M51" s="113"/>
      <c r="N51" s="113"/>
      <c r="O51" s="113"/>
      <c r="P51" s="113"/>
      <c r="Q51" s="113"/>
      <c r="R51" s="113"/>
      <c r="S51" s="113"/>
      <c r="T51" s="113"/>
      <c r="U51" s="183"/>
    </row>
    <row r="52" spans="2:23" x14ac:dyDescent="0.25">
      <c r="D52" s="29" t="s">
        <v>580</v>
      </c>
      <c r="F52" s="115"/>
      <c r="H52" s="3"/>
      <c r="I52" s="3"/>
      <c r="J52" s="3"/>
      <c r="K52" s="3"/>
      <c r="L52" s="113"/>
      <c r="M52" s="113"/>
      <c r="N52" s="113"/>
      <c r="O52" s="113"/>
      <c r="P52" s="113"/>
      <c r="Q52" s="113"/>
      <c r="R52" s="113"/>
      <c r="S52" s="113"/>
      <c r="T52" s="113"/>
      <c r="U52" s="183"/>
    </row>
    <row r="53" spans="2:23" x14ac:dyDescent="0.25">
      <c r="D53" s="29"/>
      <c r="F53" s="115"/>
      <c r="H53" s="3"/>
      <c r="I53" s="3"/>
      <c r="J53" s="3"/>
      <c r="K53" s="3"/>
      <c r="L53" s="113"/>
      <c r="M53" s="113"/>
      <c r="N53" s="113"/>
      <c r="O53" s="113"/>
      <c r="P53" s="113"/>
      <c r="Q53" s="113"/>
      <c r="R53" s="113"/>
      <c r="S53" s="113"/>
      <c r="T53" s="113"/>
      <c r="U53" s="183"/>
    </row>
    <row r="54" spans="2:23" x14ac:dyDescent="0.25">
      <c r="E54" t="s">
        <v>581</v>
      </c>
      <c r="F54" s="177"/>
      <c r="G54" s="28" t="s">
        <v>277</v>
      </c>
      <c r="H54" s="3"/>
      <c r="I54" s="3"/>
      <c r="J54" s="79"/>
      <c r="K54" s="79"/>
      <c r="L54" s="120">
        <f>'Inputs by network level'!L33</f>
        <v>0</v>
      </c>
      <c r="M54" s="120">
        <f>'Inputs by network level'!M33</f>
        <v>0</v>
      </c>
      <c r="N54" s="120">
        <f>'Inputs by network level'!N33</f>
        <v>83352752.612587541</v>
      </c>
      <c r="O54" s="120">
        <f>'Inputs by network level'!O33</f>
        <v>75417262.601071209</v>
      </c>
      <c r="P54" s="120">
        <f>'Inputs by network level'!P33</f>
        <v>0</v>
      </c>
      <c r="Q54" s="120">
        <f>'Inputs by network level'!Q33</f>
        <v>311643309.08843678</v>
      </c>
      <c r="R54" s="120">
        <f>'Inputs by network level'!R33</f>
        <v>75464915.403196216</v>
      </c>
      <c r="S54" s="120">
        <f>'Inputs by network level'!S33</f>
        <v>179139294.10803175</v>
      </c>
      <c r="T54" s="79"/>
      <c r="U54" s="79"/>
      <c r="W54" s="3"/>
    </row>
    <row r="55" spans="2:23" x14ac:dyDescent="0.25">
      <c r="E55" t="s">
        <v>582</v>
      </c>
      <c r="F55" s="177"/>
      <c r="G55" s="28" t="s">
        <v>583</v>
      </c>
      <c r="H55" s="3"/>
      <c r="I55" s="3"/>
      <c r="J55" s="79"/>
      <c r="K55" s="79"/>
      <c r="L55" s="98">
        <f t="shared" ref="L55:S55" si="2">IF(L48 = 0, 0, L54 / (L48 * thousand))</f>
        <v>0</v>
      </c>
      <c r="M55" s="98">
        <f t="shared" si="2"/>
        <v>0</v>
      </c>
      <c r="N55" s="98">
        <f t="shared" si="2"/>
        <v>177.32231203094557</v>
      </c>
      <c r="O55" s="98">
        <f t="shared" si="2"/>
        <v>162.33927777741062</v>
      </c>
      <c r="P55" s="98">
        <f t="shared" si="2"/>
        <v>0</v>
      </c>
      <c r="Q55" s="98">
        <f t="shared" si="2"/>
        <v>677.36545831637181</v>
      </c>
      <c r="R55" s="98">
        <f t="shared" si="2"/>
        <v>167.66659067434406</v>
      </c>
      <c r="S55" s="98">
        <f t="shared" si="2"/>
        <v>410.78682326924513</v>
      </c>
      <c r="T55" s="79"/>
      <c r="U55" s="79"/>
      <c r="W55" s="3"/>
    </row>
    <row r="56" spans="2:23" x14ac:dyDescent="0.25">
      <c r="E56" t="s">
        <v>584</v>
      </c>
      <c r="F56" s="177"/>
      <c r="G56" s="28" t="s">
        <v>585</v>
      </c>
      <c r="H56" s="3"/>
      <c r="I56" s="3" t="s">
        <v>154</v>
      </c>
      <c r="J56" s="79"/>
      <c r="K56" s="79"/>
      <c r="L56" s="98">
        <f t="shared" ref="L56:S56" si="3">L55 * $H$25</f>
        <v>0</v>
      </c>
      <c r="M56" s="98">
        <f t="shared" si="3"/>
        <v>0</v>
      </c>
      <c r="N56" s="98">
        <f t="shared" si="3"/>
        <v>8.5499130321142616</v>
      </c>
      <c r="O56" s="98">
        <f t="shared" si="3"/>
        <v>7.827479186324136</v>
      </c>
      <c r="P56" s="98">
        <f t="shared" si="3"/>
        <v>0</v>
      </c>
      <c r="Q56" s="98">
        <f t="shared" si="3"/>
        <v>32.660389396188918</v>
      </c>
      <c r="R56" s="98">
        <f t="shared" si="3"/>
        <v>8.0843451240730904</v>
      </c>
      <c r="S56" s="98">
        <f t="shared" si="3"/>
        <v>19.80682280455267</v>
      </c>
      <c r="T56" s="79"/>
      <c r="U56" s="79"/>
      <c r="W56" s="3" t="s">
        <v>586</v>
      </c>
    </row>
    <row r="57" spans="2:23" x14ac:dyDescent="0.25">
      <c r="H57" s="3"/>
      <c r="I57" s="3"/>
      <c r="J57" s="127"/>
      <c r="K57" s="127"/>
      <c r="L57" s="127"/>
      <c r="M57" s="127"/>
      <c r="N57" s="127"/>
      <c r="O57" s="127"/>
      <c r="P57" s="127"/>
      <c r="Q57" s="127"/>
      <c r="R57" s="127"/>
      <c r="S57" s="127"/>
      <c r="T57" s="127"/>
      <c r="U57" s="127"/>
      <c r="W57" s="3"/>
    </row>
    <row r="58" spans="2:23" x14ac:dyDescent="0.25">
      <c r="B58" s="30" t="s">
        <v>587</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25">
      <c r="J59" s="89"/>
      <c r="K59" s="89"/>
      <c r="L59" s="89"/>
      <c r="M59" s="89"/>
      <c r="N59" s="89"/>
      <c r="O59" s="89"/>
      <c r="P59" s="89"/>
      <c r="Q59" s="89"/>
      <c r="R59" s="89"/>
      <c r="S59" s="89"/>
      <c r="T59" s="89"/>
      <c r="U59" s="89"/>
    </row>
    <row r="60" spans="2:23" x14ac:dyDescent="0.25">
      <c r="C60" s="29" t="s">
        <v>588</v>
      </c>
      <c r="J60" s="89"/>
      <c r="K60" s="89"/>
      <c r="L60" s="89"/>
      <c r="M60" s="89"/>
      <c r="N60" s="89"/>
      <c r="O60" s="89"/>
      <c r="P60" s="89"/>
      <c r="Q60" s="89"/>
      <c r="R60" s="89"/>
      <c r="S60" s="89"/>
      <c r="T60" s="89"/>
      <c r="U60" s="89"/>
    </row>
    <row r="61" spans="2:23" x14ac:dyDescent="0.25">
      <c r="J61" s="89"/>
      <c r="K61" s="89"/>
      <c r="L61" s="89"/>
      <c r="M61" s="89"/>
      <c r="N61" s="89"/>
      <c r="O61" s="89"/>
      <c r="P61" s="89"/>
      <c r="Q61" s="89"/>
      <c r="R61" s="89"/>
      <c r="S61" s="89"/>
      <c r="T61" s="89"/>
      <c r="U61" s="89"/>
    </row>
    <row r="62" spans="2:23" x14ac:dyDescent="0.25">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25">
      <c r="D63" s="32"/>
      <c r="J63" s="89"/>
      <c r="K63" s="89"/>
      <c r="L63" s="89"/>
      <c r="M63" s="89"/>
      <c r="N63" s="89"/>
      <c r="O63" s="89"/>
      <c r="P63" s="89"/>
      <c r="Q63" s="89"/>
      <c r="R63" s="89"/>
      <c r="S63" s="89"/>
      <c r="T63" s="89"/>
      <c r="U63" s="89"/>
    </row>
    <row r="64" spans="2:23" x14ac:dyDescent="0.25">
      <c r="E64" t="s">
        <v>589</v>
      </c>
      <c r="G64" t="s">
        <v>172</v>
      </c>
      <c r="J64" s="79"/>
      <c r="K64" s="120">
        <f t="array" ref="K64:S64">TRANSPOSE('System peak demand'!H269:H277)</f>
        <v>933.23891330882225</v>
      </c>
      <c r="L64" s="120">
        <v>0</v>
      </c>
      <c r="M64" s="120">
        <v>0</v>
      </c>
      <c r="N64" s="120">
        <v>959.49553388222398</v>
      </c>
      <c r="O64" s="120">
        <v>1142.5300531296732</v>
      </c>
      <c r="P64" s="120">
        <v>0</v>
      </c>
      <c r="Q64" s="120">
        <v>1263.887830307237</v>
      </c>
      <c r="R64" s="120">
        <v>1226.1154909777713</v>
      </c>
      <c r="S64" s="120">
        <v>960.48953414189839</v>
      </c>
      <c r="T64" s="79"/>
      <c r="U64" s="79"/>
    </row>
    <row r="65" spans="3:24" x14ac:dyDescent="0.25">
      <c r="E65" s="28" t="s">
        <v>590</v>
      </c>
      <c r="F65" s="28"/>
      <c r="G65" s="28" t="s">
        <v>172</v>
      </c>
      <c r="H65" s="102"/>
      <c r="J65" s="98">
        <f>K64</f>
        <v>933.23891330882225</v>
      </c>
      <c r="K65" s="79"/>
      <c r="L65" s="79"/>
      <c r="M65" s="79"/>
      <c r="N65" s="79"/>
      <c r="O65" s="79"/>
      <c r="P65" s="79"/>
      <c r="Q65" s="79"/>
      <c r="R65" s="79"/>
      <c r="S65" s="79"/>
      <c r="T65" s="79"/>
      <c r="U65" s="79"/>
      <c r="W65" s="63"/>
      <c r="X65" s="63"/>
    </row>
    <row r="66" spans="3:24" x14ac:dyDescent="0.25">
      <c r="J66" s="89"/>
      <c r="K66" s="89"/>
      <c r="L66" s="89"/>
      <c r="M66" s="89"/>
      <c r="N66" s="89"/>
      <c r="O66" s="89"/>
      <c r="P66" s="89"/>
      <c r="Q66" s="89"/>
      <c r="R66" s="89"/>
      <c r="S66" s="89"/>
      <c r="T66" s="89"/>
      <c r="U66" s="89"/>
      <c r="X66" s="63"/>
    </row>
    <row r="67" spans="3:24" x14ac:dyDescent="0.25">
      <c r="E67" s="28" t="s">
        <v>589</v>
      </c>
      <c r="F67" s="28"/>
      <c r="G67" s="28" t="s">
        <v>520</v>
      </c>
      <c r="H67" s="102"/>
      <c r="J67" s="98">
        <f t="shared" ref="J67:S67" si="4">SUM(J64:J65) * thousand</f>
        <v>933238.9133088222</v>
      </c>
      <c r="K67" s="98">
        <f t="shared" si="4"/>
        <v>933238.9133088222</v>
      </c>
      <c r="L67" s="98">
        <f t="shared" si="4"/>
        <v>0</v>
      </c>
      <c r="M67" s="98">
        <f t="shared" si="4"/>
        <v>0</v>
      </c>
      <c r="N67" s="98">
        <f t="shared" si="4"/>
        <v>959495.533882224</v>
      </c>
      <c r="O67" s="98">
        <f t="shared" si="4"/>
        <v>1142530.0531296732</v>
      </c>
      <c r="P67" s="98">
        <f t="shared" si="4"/>
        <v>0</v>
      </c>
      <c r="Q67" s="98">
        <f t="shared" si="4"/>
        <v>1263887.8303072369</v>
      </c>
      <c r="R67" s="98">
        <f t="shared" si="4"/>
        <v>1226115.4909777713</v>
      </c>
      <c r="S67" s="98">
        <f t="shared" si="4"/>
        <v>960489.53414189839</v>
      </c>
      <c r="T67" s="79"/>
      <c r="U67" s="79"/>
      <c r="W67" s="63"/>
      <c r="X67" s="63"/>
    </row>
    <row r="68" spans="3:24" x14ac:dyDescent="0.25">
      <c r="J68" s="89"/>
      <c r="K68" s="89"/>
      <c r="L68" s="89"/>
      <c r="M68" s="89"/>
      <c r="N68" s="89"/>
      <c r="O68" s="89"/>
      <c r="P68" s="89"/>
      <c r="Q68" s="89"/>
      <c r="R68" s="89"/>
      <c r="S68" s="89"/>
      <c r="T68" s="89"/>
      <c r="U68" s="89"/>
    </row>
    <row r="69" spans="3:24" x14ac:dyDescent="0.25">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25">
      <c r="E70" s="32"/>
      <c r="J70" s="89"/>
      <c r="K70" s="89"/>
      <c r="L70" s="89"/>
      <c r="M70" s="89"/>
      <c r="N70" s="89"/>
      <c r="O70" s="89"/>
      <c r="P70" s="89"/>
      <c r="Q70" s="89"/>
      <c r="R70" s="89"/>
      <c r="S70" s="89"/>
      <c r="T70" s="89"/>
      <c r="U70" s="89"/>
      <c r="X70" s="63"/>
    </row>
    <row r="71" spans="3:24" x14ac:dyDescent="0.25">
      <c r="D71" s="29" t="s">
        <v>591</v>
      </c>
      <c r="J71" s="89"/>
      <c r="K71" s="89"/>
      <c r="L71" s="89"/>
      <c r="M71" s="89"/>
      <c r="N71" s="89"/>
      <c r="O71" s="89"/>
      <c r="P71" s="89"/>
      <c r="Q71" s="89"/>
      <c r="R71" s="89"/>
      <c r="S71" s="89"/>
      <c r="T71" s="89"/>
      <c r="U71" s="89"/>
      <c r="X71" s="63"/>
    </row>
    <row r="72" spans="3:24" x14ac:dyDescent="0.25">
      <c r="D72" s="29"/>
      <c r="J72" s="89"/>
      <c r="K72" s="89"/>
      <c r="L72" s="89"/>
      <c r="M72" s="89"/>
      <c r="N72" s="89"/>
      <c r="O72" s="89"/>
      <c r="P72" s="89"/>
      <c r="Q72" s="89"/>
      <c r="R72" s="89"/>
      <c r="S72" s="89"/>
      <c r="T72" s="89"/>
      <c r="U72" s="89"/>
      <c r="X72" s="63"/>
    </row>
    <row r="73" spans="3:24" x14ac:dyDescent="0.25">
      <c r="E73" s="28" t="s">
        <v>592</v>
      </c>
      <c r="F73" s="28"/>
      <c r="G73" s="28" t="s">
        <v>277</v>
      </c>
      <c r="J73" s="79"/>
      <c r="K73" s="79"/>
      <c r="L73" s="98">
        <f t="shared" ref="L73:S73" si="5">L67 * L55</f>
        <v>0</v>
      </c>
      <c r="M73" s="98">
        <f t="shared" si="5"/>
        <v>0</v>
      </c>
      <c r="N73" s="98">
        <f t="shared" si="5"/>
        <v>170139966.45136243</v>
      </c>
      <c r="O73" s="98">
        <f t="shared" si="5"/>
        <v>185477503.66405773</v>
      </c>
      <c r="P73" s="98">
        <f t="shared" si="5"/>
        <v>0</v>
      </c>
      <c r="Q73" s="98">
        <f t="shared" si="5"/>
        <v>856113959.43654633</v>
      </c>
      <c r="R73" s="98">
        <f t="shared" si="5"/>
        <v>205578604.14524239</v>
      </c>
      <c r="S73" s="98">
        <f t="shared" si="5"/>
        <v>394556444.5135076</v>
      </c>
      <c r="T73" s="79"/>
      <c r="U73" s="79"/>
      <c r="X73" s="63"/>
    </row>
    <row r="74" spans="3:24" x14ac:dyDescent="0.25">
      <c r="E74" s="28" t="s">
        <v>593</v>
      </c>
      <c r="F74" s="28"/>
      <c r="G74" s="28" t="s">
        <v>277</v>
      </c>
      <c r="J74" s="79"/>
      <c r="K74" s="79"/>
      <c r="L74" s="79"/>
      <c r="M74" s="79"/>
      <c r="N74" s="79"/>
      <c r="O74" s="79"/>
      <c r="P74" s="79"/>
      <c r="Q74" s="79"/>
      <c r="R74" s="79"/>
      <c r="S74" s="79"/>
      <c r="T74" s="120">
        <f>'Service model assets'!H33</f>
        <v>341750052.29064399</v>
      </c>
      <c r="U74" s="120">
        <f>'Service model assets'!H34</f>
        <v>35116740.686585791</v>
      </c>
      <c r="X74" s="63"/>
    </row>
    <row r="75" spans="3:24" x14ac:dyDescent="0.25">
      <c r="J75" s="89"/>
      <c r="K75" s="89"/>
      <c r="L75" s="89"/>
      <c r="M75" s="89"/>
      <c r="N75" s="89"/>
      <c r="O75" s="89"/>
      <c r="P75" s="89"/>
      <c r="Q75" s="89"/>
      <c r="R75" s="89"/>
      <c r="S75" s="89"/>
      <c r="T75" s="89"/>
      <c r="U75" s="89"/>
      <c r="X75" s="63"/>
    </row>
    <row r="76" spans="3:24" x14ac:dyDescent="0.25">
      <c r="E76" s="28" t="s">
        <v>594</v>
      </c>
      <c r="F76" s="28"/>
      <c r="G76" s="28" t="s">
        <v>277</v>
      </c>
      <c r="I76" t="s">
        <v>154</v>
      </c>
      <c r="J76" s="79"/>
      <c r="K76" s="98">
        <f t="shared" ref="K76:U76" si="6">K73 + K74</f>
        <v>0</v>
      </c>
      <c r="L76" s="98">
        <f t="shared" si="6"/>
        <v>0</v>
      </c>
      <c r="M76" s="98">
        <f t="shared" si="6"/>
        <v>0</v>
      </c>
      <c r="N76" s="98">
        <f t="shared" si="6"/>
        <v>170139966.45136243</v>
      </c>
      <c r="O76" s="98">
        <f t="shared" si="6"/>
        <v>185477503.66405773</v>
      </c>
      <c r="P76" s="98">
        <f t="shared" si="6"/>
        <v>0</v>
      </c>
      <c r="Q76" s="98">
        <f t="shared" si="6"/>
        <v>856113959.43654633</v>
      </c>
      <c r="R76" s="98">
        <f t="shared" si="6"/>
        <v>205578604.14524239</v>
      </c>
      <c r="S76" s="98">
        <f t="shared" si="6"/>
        <v>394556444.5135076</v>
      </c>
      <c r="T76" s="98">
        <f t="shared" si="6"/>
        <v>341750052.29064399</v>
      </c>
      <c r="U76" s="98">
        <f t="shared" si="6"/>
        <v>35116740.686585791</v>
      </c>
      <c r="W76" s="3" t="s">
        <v>595</v>
      </c>
      <c r="X76" s="63"/>
    </row>
    <row r="77" spans="3:24" x14ac:dyDescent="0.25">
      <c r="L77" s="63"/>
      <c r="M77" s="63"/>
      <c r="N77" s="63"/>
      <c r="O77" s="63"/>
      <c r="P77" s="63"/>
      <c r="Q77" s="63"/>
      <c r="R77" s="63"/>
      <c r="S77" s="63"/>
      <c r="T77" s="63"/>
      <c r="U77" s="63"/>
      <c r="X77" s="63"/>
    </row>
    <row r="78" spans="3:24" x14ac:dyDescent="0.25">
      <c r="E78" s="28" t="s">
        <v>596</v>
      </c>
      <c r="F78" s="28"/>
      <c r="G78" s="28" t="s">
        <v>167</v>
      </c>
      <c r="J78" s="180"/>
      <c r="K78" s="145">
        <f t="shared" ref="K78:U78" si="7">K76 / SUM($K$76:$U$76)</f>
        <v>0</v>
      </c>
      <c r="L78" s="145">
        <f t="shared" si="7"/>
        <v>0</v>
      </c>
      <c r="M78" s="145">
        <f t="shared" si="7"/>
        <v>0</v>
      </c>
      <c r="N78" s="145">
        <f t="shared" si="7"/>
        <v>7.7734445165635963E-2</v>
      </c>
      <c r="O78" s="145">
        <f t="shared" si="7"/>
        <v>8.4741940055303708E-2</v>
      </c>
      <c r="P78" s="145">
        <f t="shared" si="7"/>
        <v>0</v>
      </c>
      <c r="Q78" s="145">
        <f t="shared" si="7"/>
        <v>0.39114586080737285</v>
      </c>
      <c r="R78" s="145">
        <f t="shared" si="7"/>
        <v>9.392583685341592E-2</v>
      </c>
      <c r="S78" s="145">
        <f t="shared" si="7"/>
        <v>0.18026702920240256</v>
      </c>
      <c r="T78" s="145">
        <f t="shared" si="7"/>
        <v>0.15614056623041939</v>
      </c>
      <c r="U78" s="145">
        <f t="shared" si="7"/>
        <v>1.6044321685449593E-2</v>
      </c>
      <c r="X78" s="63"/>
    </row>
    <row r="79" spans="3:24" x14ac:dyDescent="0.25">
      <c r="E79" s="32"/>
      <c r="L79" s="63"/>
      <c r="M79" s="63"/>
      <c r="N79" s="63"/>
      <c r="O79" s="63"/>
      <c r="P79" s="63"/>
      <c r="Q79" s="63"/>
      <c r="R79" s="63"/>
      <c r="S79" s="63"/>
      <c r="T79" s="63"/>
      <c r="U79" s="63"/>
    </row>
    <row r="80" spans="3:24" x14ac:dyDescent="0.25">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25">
      <c r="E81" s="32"/>
      <c r="L81" s="63"/>
      <c r="M81" s="63"/>
      <c r="N81" s="63"/>
      <c r="O81" s="63"/>
      <c r="P81" s="63"/>
      <c r="Q81" s="63"/>
      <c r="R81" s="63"/>
      <c r="S81" s="63"/>
      <c r="T81" s="63"/>
      <c r="U81" s="63"/>
    </row>
    <row r="82" spans="3:23" x14ac:dyDescent="0.25">
      <c r="D82" s="29" t="s">
        <v>597</v>
      </c>
      <c r="L82" s="63"/>
      <c r="M82" s="63"/>
      <c r="N82" s="63"/>
      <c r="O82" s="63"/>
      <c r="P82" s="63"/>
      <c r="Q82" s="63"/>
      <c r="R82" s="63"/>
      <c r="S82" s="63"/>
      <c r="T82" s="63"/>
      <c r="U82" s="63"/>
    </row>
    <row r="83" spans="3:23" x14ac:dyDescent="0.25">
      <c r="D83" s="29"/>
      <c r="L83" s="63"/>
      <c r="M83" s="63"/>
      <c r="N83" s="63"/>
      <c r="O83" s="63"/>
      <c r="P83" s="63"/>
      <c r="Q83" s="63"/>
      <c r="R83" s="63"/>
      <c r="S83" s="63"/>
      <c r="T83" s="63"/>
      <c r="U83" s="63"/>
    </row>
    <row r="84" spans="3:23" x14ac:dyDescent="0.25">
      <c r="E84" s="28" t="s">
        <v>169</v>
      </c>
      <c r="F84" s="28"/>
      <c r="G84" s="28" t="s">
        <v>167</v>
      </c>
      <c r="H84" s="25">
        <f>'Fixed inputs'!H39</f>
        <v>0.6</v>
      </c>
      <c r="L84" s="63"/>
      <c r="M84" s="63"/>
      <c r="N84" s="63"/>
      <c r="O84" s="63"/>
      <c r="P84" s="63"/>
      <c r="Q84" s="63"/>
      <c r="R84" s="63"/>
      <c r="S84" s="63"/>
      <c r="T84" s="63"/>
      <c r="U84" s="63"/>
    </row>
    <row r="85" spans="3:23" x14ac:dyDescent="0.25">
      <c r="F85" s="28"/>
      <c r="G85" s="28"/>
      <c r="H85" s="25"/>
      <c r="L85" s="63"/>
      <c r="M85" s="63"/>
      <c r="N85" s="63"/>
      <c r="O85" s="63"/>
      <c r="P85" s="63"/>
      <c r="Q85" s="63"/>
      <c r="R85" s="63"/>
      <c r="S85" s="63"/>
      <c r="T85" s="63"/>
      <c r="U85" s="63"/>
    </row>
    <row r="86" spans="3:23" x14ac:dyDescent="0.25">
      <c r="E86" s="28" t="s">
        <v>360</v>
      </c>
      <c r="F86" s="28"/>
      <c r="G86" s="28" t="s">
        <v>357</v>
      </c>
      <c r="H86" s="120">
        <f>'General inputs'!H102</f>
        <v>26026834.920788765</v>
      </c>
      <c r="L86" s="63"/>
      <c r="M86" s="63"/>
      <c r="N86" s="63"/>
      <c r="O86" s="63"/>
      <c r="P86" s="63"/>
      <c r="Q86" s="63"/>
      <c r="R86" s="63"/>
      <c r="S86" s="63"/>
      <c r="T86" s="63"/>
      <c r="U86" s="63"/>
    </row>
    <row r="87" spans="3:23" x14ac:dyDescent="0.25">
      <c r="E87" s="28" t="s">
        <v>361</v>
      </c>
      <c r="F87" s="28"/>
      <c r="G87" s="28" t="s">
        <v>357</v>
      </c>
      <c r="H87" s="120">
        <f>'General inputs'!H103</f>
        <v>62949213.71955388</v>
      </c>
      <c r="L87" s="63"/>
      <c r="M87" s="63"/>
      <c r="N87" s="63"/>
      <c r="O87" s="63"/>
      <c r="P87" s="63"/>
      <c r="Q87" s="63"/>
      <c r="R87" s="63"/>
      <c r="S87" s="63"/>
      <c r="T87" s="63"/>
      <c r="U87" s="63"/>
    </row>
    <row r="88" spans="3:23" x14ac:dyDescent="0.25">
      <c r="E88" s="28" t="s">
        <v>362</v>
      </c>
      <c r="F88" s="28"/>
      <c r="G88" s="28" t="s">
        <v>357</v>
      </c>
      <c r="H88" s="120">
        <f>'General inputs'!H104</f>
        <v>24967174.493285995</v>
      </c>
      <c r="J88" s="63"/>
      <c r="L88" s="63"/>
      <c r="M88" s="63"/>
      <c r="N88" s="63"/>
      <c r="O88" s="63"/>
      <c r="P88" s="63"/>
      <c r="Q88" s="63"/>
      <c r="R88" s="63"/>
      <c r="S88" s="63"/>
      <c r="T88" s="63"/>
      <c r="U88" s="63"/>
    </row>
    <row r="89" spans="3:23" x14ac:dyDescent="0.25">
      <c r="E89" s="28"/>
      <c r="F89" s="28"/>
      <c r="G89" s="28"/>
      <c r="H89" s="120"/>
      <c r="J89" s="63"/>
      <c r="L89" s="63"/>
      <c r="M89" s="63"/>
      <c r="N89" s="63"/>
      <c r="O89" s="63"/>
      <c r="P89" s="63"/>
      <c r="Q89" s="63"/>
      <c r="R89" s="63"/>
      <c r="S89" s="63"/>
      <c r="T89" s="63"/>
      <c r="U89" s="63"/>
    </row>
    <row r="90" spans="3:23" x14ac:dyDescent="0.25">
      <c r="E90" s="28" t="s">
        <v>598</v>
      </c>
      <c r="F90" s="28"/>
      <c r="G90" s="28" t="s">
        <v>357</v>
      </c>
      <c r="H90" s="98">
        <f>H86 + H87 * H84 + H88</f>
        <v>88763537.645807087</v>
      </c>
      <c r="L90" s="63"/>
      <c r="M90" s="63"/>
      <c r="N90" s="63"/>
      <c r="O90" s="63"/>
      <c r="P90" s="63"/>
      <c r="Q90" s="63"/>
      <c r="R90" s="63"/>
      <c r="S90" s="63"/>
      <c r="T90" s="63"/>
      <c r="U90" s="63"/>
    </row>
    <row r="91" spans="3:23" x14ac:dyDescent="0.25">
      <c r="E91" s="32"/>
      <c r="L91" s="63"/>
      <c r="M91" s="63"/>
      <c r="N91" s="63"/>
      <c r="O91" s="63"/>
      <c r="P91" s="63"/>
      <c r="Q91" s="63"/>
      <c r="R91" s="63"/>
      <c r="S91" s="63"/>
      <c r="T91" s="63"/>
      <c r="U91" s="63"/>
    </row>
    <row r="92" spans="3:23" x14ac:dyDescent="0.25">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25">
      <c r="E93" s="32"/>
      <c r="H93" s="63"/>
      <c r="L93" s="63"/>
      <c r="M93" s="63"/>
      <c r="N93" s="63"/>
      <c r="O93" s="63"/>
      <c r="P93" s="63"/>
      <c r="Q93" s="63"/>
      <c r="R93" s="63"/>
      <c r="S93" s="63"/>
      <c r="T93" s="63"/>
      <c r="U93" s="63"/>
    </row>
    <row r="94" spans="3:23" x14ac:dyDescent="0.25">
      <c r="D94" s="29" t="s">
        <v>599</v>
      </c>
      <c r="H94" s="63"/>
      <c r="L94" s="63"/>
      <c r="M94" s="63"/>
      <c r="N94" s="63"/>
      <c r="O94" s="63"/>
      <c r="P94" s="63"/>
      <c r="Q94" s="63"/>
      <c r="R94" s="63"/>
      <c r="S94" s="63"/>
      <c r="T94" s="63"/>
      <c r="U94" s="63"/>
    </row>
    <row r="95" spans="3:23" x14ac:dyDescent="0.25">
      <c r="D95" s="29" t="s">
        <v>600</v>
      </c>
      <c r="H95" s="63"/>
      <c r="L95" s="63"/>
      <c r="M95" s="63"/>
      <c r="N95" s="63"/>
      <c r="O95" s="63"/>
      <c r="P95" s="63"/>
      <c r="Q95" s="63"/>
      <c r="R95" s="63"/>
      <c r="S95" s="63"/>
      <c r="T95" s="63"/>
      <c r="U95" s="63"/>
    </row>
    <row r="96" spans="3:23" x14ac:dyDescent="0.25">
      <c r="D96" s="29"/>
      <c r="H96" s="63"/>
      <c r="L96" s="63"/>
      <c r="M96" s="63"/>
      <c r="N96" s="63"/>
      <c r="O96" s="63"/>
      <c r="P96" s="63"/>
      <c r="Q96" s="63"/>
      <c r="R96" s="63"/>
      <c r="S96" s="63"/>
      <c r="T96" s="63"/>
      <c r="U96" s="63"/>
    </row>
    <row r="97" spans="2:23" x14ac:dyDescent="0.25">
      <c r="E97" s="28" t="s">
        <v>601</v>
      </c>
      <c r="F97" s="28"/>
      <c r="G97" s="28" t="s">
        <v>357</v>
      </c>
      <c r="I97" t="s">
        <v>154</v>
      </c>
      <c r="J97" s="79"/>
      <c r="K97" s="98">
        <f t="shared" ref="K97:U97" si="8">K78 * $H$90</f>
        <v>0</v>
      </c>
      <c r="L97" s="98">
        <f t="shared" si="8"/>
        <v>0</v>
      </c>
      <c r="M97" s="98">
        <f t="shared" si="8"/>
        <v>0</v>
      </c>
      <c r="N97" s="98">
        <f t="shared" si="8"/>
        <v>6899984.349835855</v>
      </c>
      <c r="O97" s="98">
        <f t="shared" si="8"/>
        <v>7521994.3862776784</v>
      </c>
      <c r="P97" s="98">
        <f t="shared" si="8"/>
        <v>0</v>
      </c>
      <c r="Q97" s="98">
        <f t="shared" si="8"/>
        <v>34719490.340776861</v>
      </c>
      <c r="R97" s="98">
        <f t="shared" si="8"/>
        <v>8337189.5554521186</v>
      </c>
      <c r="S97" s="98">
        <f t="shared" si="8"/>
        <v>16001139.232905265</v>
      </c>
      <c r="T97" s="98">
        <f t="shared" si="8"/>
        <v>13859589.028631466</v>
      </c>
      <c r="U97" s="98">
        <f t="shared" si="8"/>
        <v>1424150.751927844</v>
      </c>
      <c r="W97" s="3" t="s">
        <v>602</v>
      </c>
    </row>
    <row r="98" spans="2:23" x14ac:dyDescent="0.25">
      <c r="E98" s="28" t="s">
        <v>356</v>
      </c>
      <c r="F98" s="28"/>
      <c r="G98" s="28" t="s">
        <v>357</v>
      </c>
      <c r="H98" s="63"/>
      <c r="I98" s="63"/>
      <c r="J98" s="120">
        <f>'General inputs'!$H$97</f>
        <v>23095615.60577311</v>
      </c>
      <c r="K98" s="79"/>
      <c r="L98" s="79"/>
      <c r="M98" s="79"/>
      <c r="N98" s="79"/>
      <c r="O98" s="79"/>
      <c r="P98" s="79"/>
      <c r="Q98" s="79"/>
      <c r="R98" s="79"/>
      <c r="S98" s="79"/>
      <c r="T98" s="79"/>
      <c r="U98" s="79"/>
    </row>
    <row r="99" spans="2:23" x14ac:dyDescent="0.25">
      <c r="J99" s="89"/>
      <c r="K99" s="89"/>
      <c r="L99" s="89"/>
      <c r="M99" s="89"/>
      <c r="N99" s="89"/>
      <c r="O99" s="89"/>
      <c r="P99" s="89"/>
      <c r="Q99" s="89"/>
      <c r="R99" s="89"/>
      <c r="S99" s="89"/>
      <c r="T99" s="89"/>
      <c r="U99" s="89"/>
    </row>
    <row r="100" spans="2:23" x14ac:dyDescent="0.25">
      <c r="E100" s="28" t="s">
        <v>603</v>
      </c>
      <c r="F100" s="28"/>
      <c r="G100" s="28" t="s">
        <v>604</v>
      </c>
      <c r="I100" t="s">
        <v>154</v>
      </c>
      <c r="J100" s="98">
        <f t="shared" ref="J100:S100" si="9">IF(J$67 = 0, 0, SUM(J97:J98) / J$67)</f>
        <v>24.747806029526803</v>
      </c>
      <c r="K100" s="98">
        <f t="shared" si="9"/>
        <v>0</v>
      </c>
      <c r="L100" s="98">
        <f t="shared" si="9"/>
        <v>0</v>
      </c>
      <c r="M100" s="98">
        <f t="shared" si="9"/>
        <v>0</v>
      </c>
      <c r="N100" s="98">
        <f t="shared" si="9"/>
        <v>7.1912626022528343</v>
      </c>
      <c r="O100" s="98">
        <f t="shared" si="9"/>
        <v>6.5836293458303965</v>
      </c>
      <c r="P100" s="98">
        <f t="shared" si="9"/>
        <v>0</v>
      </c>
      <c r="Q100" s="98">
        <f t="shared" si="9"/>
        <v>27.470388991985899</v>
      </c>
      <c r="R100" s="98">
        <f t="shared" si="9"/>
        <v>6.7996772056142847</v>
      </c>
      <c r="S100" s="98">
        <f t="shared" si="9"/>
        <v>16.659358237776829</v>
      </c>
      <c r="T100" s="79"/>
      <c r="U100" s="79"/>
      <c r="W100" s="3" t="s">
        <v>605</v>
      </c>
    </row>
    <row r="101" spans="2:23" x14ac:dyDescent="0.25">
      <c r="J101" s="89"/>
      <c r="K101" s="89"/>
      <c r="L101" s="89"/>
      <c r="M101" s="89"/>
      <c r="N101" s="89"/>
      <c r="O101" s="89"/>
      <c r="P101" s="89"/>
      <c r="Q101" s="89"/>
      <c r="R101" s="89"/>
      <c r="S101" s="89"/>
      <c r="T101" s="89"/>
      <c r="U101" s="89"/>
    </row>
    <row r="102" spans="2:23" x14ac:dyDescent="0.25">
      <c r="B102" s="30" t="s">
        <v>606</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25">
      <c r="B103" s="29"/>
      <c r="J103" s="89"/>
      <c r="K103" s="89"/>
      <c r="L103" s="89"/>
      <c r="M103" s="89"/>
      <c r="N103" s="89"/>
      <c r="O103" s="89"/>
      <c r="P103" s="89"/>
      <c r="Q103" s="89"/>
      <c r="R103" s="89"/>
      <c r="S103" s="89"/>
      <c r="T103" s="89"/>
      <c r="U103" s="89"/>
    </row>
    <row r="104" spans="2:23" x14ac:dyDescent="0.25">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25">
      <c r="B105" s="29"/>
      <c r="J105" s="89"/>
      <c r="K105" s="89"/>
      <c r="L105" s="89"/>
      <c r="M105" s="89"/>
      <c r="N105" s="89"/>
      <c r="O105" s="89"/>
      <c r="P105" s="89"/>
      <c r="Q105" s="89"/>
      <c r="R105" s="89"/>
      <c r="S105" s="89"/>
      <c r="T105" s="89"/>
      <c r="U105" s="89"/>
    </row>
    <row r="106" spans="2:23" x14ac:dyDescent="0.25">
      <c r="B106" s="29"/>
      <c r="D106" s="29" t="s">
        <v>607</v>
      </c>
      <c r="J106" s="89"/>
      <c r="K106" s="89"/>
      <c r="L106" s="89"/>
      <c r="M106" s="89"/>
      <c r="N106" s="89"/>
      <c r="O106" s="89"/>
      <c r="P106" s="89"/>
      <c r="Q106" s="89"/>
      <c r="R106" s="89"/>
      <c r="S106" s="89"/>
      <c r="T106" s="89"/>
      <c r="U106" s="89"/>
    </row>
    <row r="107" spans="2:23" x14ac:dyDescent="0.25">
      <c r="B107" s="29"/>
      <c r="D107" s="29"/>
      <c r="J107" s="89"/>
      <c r="K107" s="89"/>
      <c r="L107" s="89"/>
      <c r="M107" s="89"/>
      <c r="N107" s="89"/>
      <c r="O107" s="89"/>
      <c r="P107" s="89"/>
      <c r="Q107" s="89"/>
      <c r="R107" s="89"/>
      <c r="S107" s="89"/>
      <c r="T107" s="89"/>
      <c r="U107" s="89"/>
    </row>
    <row r="108" spans="2:23" x14ac:dyDescent="0.25">
      <c r="B108" s="29"/>
      <c r="E108" s="28" t="s">
        <v>594</v>
      </c>
      <c r="F108" s="28"/>
      <c r="G108" s="28" t="s">
        <v>277</v>
      </c>
      <c r="J108" s="79"/>
      <c r="K108" s="121">
        <f t="shared" ref="K108:U108" si="10">K76</f>
        <v>0</v>
      </c>
      <c r="L108" s="121">
        <f t="shared" si="10"/>
        <v>0</v>
      </c>
      <c r="M108" s="121">
        <f t="shared" si="10"/>
        <v>0</v>
      </c>
      <c r="N108" s="121">
        <f t="shared" si="10"/>
        <v>170139966.45136243</v>
      </c>
      <c r="O108" s="121">
        <f t="shared" si="10"/>
        <v>185477503.66405773</v>
      </c>
      <c r="P108" s="121">
        <f t="shared" si="10"/>
        <v>0</v>
      </c>
      <c r="Q108" s="121">
        <f t="shared" si="10"/>
        <v>856113959.43654633</v>
      </c>
      <c r="R108" s="121">
        <f t="shared" si="10"/>
        <v>205578604.14524239</v>
      </c>
      <c r="S108" s="121">
        <f t="shared" si="10"/>
        <v>394556444.5135076</v>
      </c>
      <c r="T108" s="121">
        <f t="shared" si="10"/>
        <v>341750052.29064399</v>
      </c>
      <c r="U108" s="121">
        <f t="shared" si="10"/>
        <v>35116740.686585791</v>
      </c>
    </row>
    <row r="109" spans="2:23" x14ac:dyDescent="0.25">
      <c r="B109" s="29"/>
    </row>
    <row r="110" spans="2:23" x14ac:dyDescent="0.25">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25">
      <c r="B111" s="29"/>
    </row>
    <row r="112" spans="2:23" x14ac:dyDescent="0.25">
      <c r="B112" s="29"/>
      <c r="D112" s="29" t="s">
        <v>608</v>
      </c>
    </row>
    <row r="113" spans="2:24" x14ac:dyDescent="0.25">
      <c r="B113" s="29"/>
      <c r="D113" s="29"/>
    </row>
    <row r="114" spans="2:24" x14ac:dyDescent="0.25">
      <c r="E114" t="s">
        <v>584</v>
      </c>
      <c r="F114" s="177"/>
      <c r="G114" s="28" t="s">
        <v>604</v>
      </c>
      <c r="H114" s="3"/>
      <c r="I114" s="3"/>
      <c r="J114" s="79"/>
      <c r="K114" s="79"/>
      <c r="L114" s="121">
        <f t="shared" ref="L114:S114" si="11">L56</f>
        <v>0</v>
      </c>
      <c r="M114" s="121">
        <f t="shared" si="11"/>
        <v>0</v>
      </c>
      <c r="N114" s="121">
        <f t="shared" si="11"/>
        <v>8.5499130321142616</v>
      </c>
      <c r="O114" s="121">
        <f t="shared" si="11"/>
        <v>7.827479186324136</v>
      </c>
      <c r="P114" s="121">
        <f t="shared" si="11"/>
        <v>0</v>
      </c>
      <c r="Q114" s="121">
        <f t="shared" si="11"/>
        <v>32.660389396188918</v>
      </c>
      <c r="R114" s="121">
        <f t="shared" si="11"/>
        <v>8.0843451240730904</v>
      </c>
      <c r="S114" s="121">
        <f t="shared" si="11"/>
        <v>19.80682280455267</v>
      </c>
      <c r="T114" s="79"/>
      <c r="U114" s="79"/>
    </row>
    <row r="115" spans="2:24" x14ac:dyDescent="0.25">
      <c r="B115" s="29"/>
      <c r="E115" t="s">
        <v>603</v>
      </c>
      <c r="F115" s="28"/>
      <c r="G115" s="28" t="s">
        <v>604</v>
      </c>
      <c r="J115" s="121">
        <f t="shared" ref="J115:S115" si="12">J100</f>
        <v>24.747806029526803</v>
      </c>
      <c r="K115" s="121">
        <f t="shared" si="12"/>
        <v>0</v>
      </c>
      <c r="L115" s="121">
        <f t="shared" si="12"/>
        <v>0</v>
      </c>
      <c r="M115" s="121">
        <f t="shared" si="12"/>
        <v>0</v>
      </c>
      <c r="N115" s="121">
        <f t="shared" si="12"/>
        <v>7.1912626022528343</v>
      </c>
      <c r="O115" s="121">
        <f t="shared" si="12"/>
        <v>6.5836293458303965</v>
      </c>
      <c r="P115" s="121">
        <f t="shared" si="12"/>
        <v>0</v>
      </c>
      <c r="Q115" s="121">
        <f t="shared" si="12"/>
        <v>27.470388991985899</v>
      </c>
      <c r="R115" s="121">
        <f t="shared" si="12"/>
        <v>6.7996772056142847</v>
      </c>
      <c r="S115" s="121">
        <f t="shared" si="12"/>
        <v>16.659358237776829</v>
      </c>
      <c r="T115" s="79"/>
      <c r="U115" s="79"/>
    </row>
    <row r="116" spans="2:24" x14ac:dyDescent="0.25">
      <c r="B116" s="29"/>
    </row>
    <row r="117" spans="2:24" x14ac:dyDescent="0.25">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25">
      <c r="B118" s="29"/>
    </row>
    <row r="119" spans="2:24" x14ac:dyDescent="0.25">
      <c r="B119" s="29"/>
      <c r="D119" s="29" t="s">
        <v>609</v>
      </c>
    </row>
    <row r="120" spans="2:24" x14ac:dyDescent="0.25">
      <c r="B120" s="29"/>
      <c r="D120" s="29"/>
    </row>
    <row r="121" spans="2:24" x14ac:dyDescent="0.25">
      <c r="B121" s="29"/>
      <c r="C121" s="32"/>
      <c r="E121" t="s">
        <v>568</v>
      </c>
      <c r="F121" s="28"/>
      <c r="G121" s="28" t="s">
        <v>167</v>
      </c>
      <c r="H121" s="186">
        <f>H25</f>
        <v>4.8216791977211342E-2</v>
      </c>
    </row>
    <row r="122" spans="2:24" x14ac:dyDescent="0.25">
      <c r="B122" s="29"/>
      <c r="C122" s="32"/>
      <c r="E122" t="s">
        <v>598</v>
      </c>
      <c r="F122" s="28"/>
      <c r="G122" s="28" t="s">
        <v>357</v>
      </c>
      <c r="H122" s="121">
        <f>H90</f>
        <v>88763537.645807087</v>
      </c>
    </row>
    <row r="123" spans="2:24" x14ac:dyDescent="0.25">
      <c r="E123" t="s">
        <v>594</v>
      </c>
      <c r="F123" s="28"/>
      <c r="G123" s="28" t="s">
        <v>277</v>
      </c>
      <c r="H123" s="121">
        <f>SUM(K76:U76)</f>
        <v>2188733271.1879463</v>
      </c>
      <c r="X123" s="63"/>
    </row>
    <row r="124" spans="2:24" x14ac:dyDescent="0.25">
      <c r="B124" s="29"/>
      <c r="C124" s="32"/>
    </row>
    <row r="125" spans="2:24" x14ac:dyDescent="0.25">
      <c r="B125" s="30" t="s">
        <v>231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25">
      <c r="E127" t="s">
        <v>232</v>
      </c>
      <c r="G127" s="6" t="s">
        <v>55</v>
      </c>
      <c r="H127" s="187">
        <f t="array" ref="H127">SUM(IF(ISERROR(H23:U123), 1))</f>
        <v>0</v>
      </c>
    </row>
    <row r="129" spans="2:23" x14ac:dyDescent="0.25">
      <c r="E129" t="s">
        <v>610</v>
      </c>
      <c r="G129" s="6" t="s">
        <v>55</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25">
      <c r="E131" t="s">
        <v>239</v>
      </c>
      <c r="G131" s="6" t="s">
        <v>55</v>
      </c>
      <c r="H131" s="103">
        <f>H127 + H129</f>
        <v>0</v>
      </c>
    </row>
    <row r="133" spans="2:23" x14ac:dyDescent="0.25">
      <c r="B133" s="30" t="s">
        <v>106</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4" priority="5" operator="greaterThan">
      <formula>0</formula>
    </cfRule>
  </conditionalFormatting>
  <conditionalFormatting sqref="H129">
    <cfRule type="cellIs" dxfId="123" priority="4" operator="greaterThan">
      <formula>0</formula>
    </cfRule>
  </conditionalFormatting>
  <conditionalFormatting sqref="J129:U129">
    <cfRule type="cellIs" dxfId="122" priority="3" operator="greaterThan">
      <formula>0</formula>
    </cfRule>
  </conditionalFormatting>
  <conditionalFormatting sqref="H131:H132">
    <cfRule type="cellIs" dxfId="121" priority="2" operator="greaterThan">
      <formula>0</formula>
    </cfRule>
  </conditionalFormatting>
  <conditionalFormatting sqref="A4:XFD4">
    <cfRule type="expression" dxfId="120" priority="1">
      <formula>LEFT($A$4,1) &lt;&gt; "0"</formula>
    </cfRule>
  </conditionalFormatting>
  <hyperlinks>
    <hyperlink ref="B5:F5" location="'Model map'!A1" display="Click here to return to model map" xr:uid="{00000000-0004-0000-10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theme="4" tint="0.59999389629810485"/>
    <pageSetUpPr fitToPage="1"/>
  </sheetPr>
  <dimension ref="A1:JU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1" width="24.5703125" hidden="1" customWidth="1"/>
    <col min="282" max="16384" width="8.7109375" hidden="1"/>
  </cols>
  <sheetData>
    <row r="1" spans="1:27" s="1" customFormat="1" x14ac:dyDescent="0.25">
      <c r="A1" s="1" t="str">
        <f ca="1">MID(CELL("filename",A1),FIND("]",CELL("filename",A1))+1,255)</f>
        <v>Initial unit rates</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H241 &amp; IF(H241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6" spans="1:27" x14ac:dyDescent="0.25">
      <c r="H6" s="3"/>
      <c r="I6" s="3"/>
      <c r="J6" s="3"/>
      <c r="K6" s="3"/>
      <c r="L6" s="3"/>
      <c r="M6" s="3"/>
      <c r="N6" s="3"/>
      <c r="P6" s="3"/>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611</v>
      </c>
      <c r="E9" s="28"/>
    </row>
    <row r="11" spans="1:27" x14ac:dyDescent="0.25">
      <c r="B11" s="30" t="s">
        <v>612</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25">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25">
      <c r="C14" s="32"/>
      <c r="D14" s="32"/>
      <c r="E14" s="32"/>
      <c r="J14" s="63"/>
      <c r="L14" s="63"/>
    </row>
    <row r="15" spans="1:27" x14ac:dyDescent="0.25">
      <c r="D15" s="29" t="s">
        <v>613</v>
      </c>
    </row>
    <row r="17" spans="5:27" x14ac:dyDescent="0.25">
      <c r="E17" s="32" t="s">
        <v>614</v>
      </c>
      <c r="G17" s="28"/>
      <c r="H17" s="3"/>
      <c r="I17" s="3" t="s">
        <v>154</v>
      </c>
      <c r="AA17" t="s">
        <v>615</v>
      </c>
    </row>
    <row r="18" spans="5:27" x14ac:dyDescent="0.25">
      <c r="F18" s="190" t="s">
        <v>189</v>
      </c>
      <c r="G18" s="64" t="s">
        <v>585</v>
      </c>
      <c r="H18" s="83"/>
    </row>
    <row r="19" spans="5:27" x14ac:dyDescent="0.25">
      <c r="F19" s="191" t="s">
        <v>191</v>
      </c>
      <c r="G19" s="28" t="s">
        <v>585</v>
      </c>
      <c r="H19" s="79"/>
    </row>
    <row r="20" spans="5:27" x14ac:dyDescent="0.25">
      <c r="F20" s="191" t="s">
        <v>192</v>
      </c>
      <c r="G20" s="28" t="s">
        <v>585</v>
      </c>
      <c r="H20" s="194">
        <f t="array" ref="H20:H27">TRANSPOSE('Unit costs'!L114:S114)</f>
        <v>0</v>
      </c>
    </row>
    <row r="21" spans="5:27" x14ac:dyDescent="0.25">
      <c r="F21" s="191" t="s">
        <v>193</v>
      </c>
      <c r="G21" s="28" t="s">
        <v>585</v>
      </c>
      <c r="H21" s="194">
        <v>0</v>
      </c>
    </row>
    <row r="22" spans="5:27" x14ac:dyDescent="0.25">
      <c r="F22" s="191" t="s">
        <v>194</v>
      </c>
      <c r="G22" s="28" t="s">
        <v>585</v>
      </c>
      <c r="H22" s="194">
        <v>8.5499130321142616</v>
      </c>
    </row>
    <row r="23" spans="5:27" x14ac:dyDescent="0.25">
      <c r="F23" s="191" t="s">
        <v>195</v>
      </c>
      <c r="G23" s="28" t="s">
        <v>585</v>
      </c>
      <c r="H23" s="194">
        <v>7.827479186324136</v>
      </c>
    </row>
    <row r="24" spans="5:27" x14ac:dyDescent="0.25">
      <c r="F24" s="191" t="s">
        <v>196</v>
      </c>
      <c r="G24" s="28" t="s">
        <v>585</v>
      </c>
      <c r="H24" s="194">
        <v>0</v>
      </c>
    </row>
    <row r="25" spans="5:27" x14ac:dyDescent="0.25">
      <c r="F25" s="191" t="s">
        <v>197</v>
      </c>
      <c r="G25" s="28" t="s">
        <v>585</v>
      </c>
      <c r="H25" s="194">
        <v>32.660389396188918</v>
      </c>
    </row>
    <row r="26" spans="5:27" x14ac:dyDescent="0.25">
      <c r="F26" s="191" t="s">
        <v>198</v>
      </c>
      <c r="G26" s="28" t="s">
        <v>585</v>
      </c>
      <c r="H26" s="194">
        <v>8.0843451240730904</v>
      </c>
    </row>
    <row r="27" spans="5:27" x14ac:dyDescent="0.25">
      <c r="F27" s="192" t="s">
        <v>199</v>
      </c>
      <c r="G27" s="67" t="s">
        <v>585</v>
      </c>
      <c r="H27" s="195">
        <v>19.80682280455267</v>
      </c>
    </row>
    <row r="28" spans="5:27" x14ac:dyDescent="0.25">
      <c r="F28" s="191"/>
      <c r="G28" s="28"/>
      <c r="H28" s="120"/>
    </row>
    <row r="29" spans="5:27" x14ac:dyDescent="0.25">
      <c r="E29" s="32" t="s">
        <v>616</v>
      </c>
      <c r="G29" s="28"/>
      <c r="H29" s="89"/>
    </row>
    <row r="30" spans="5:27" x14ac:dyDescent="0.25">
      <c r="F30" s="190" t="s">
        <v>189</v>
      </c>
      <c r="G30" s="64" t="s">
        <v>604</v>
      </c>
      <c r="H30" s="193">
        <f t="array" ref="H30:H39">TRANSPOSE('Unit costs'!J115:S115)</f>
        <v>24.747806029526803</v>
      </c>
    </row>
    <row r="31" spans="5:27" x14ac:dyDescent="0.25">
      <c r="F31" s="191" t="s">
        <v>191</v>
      </c>
      <c r="G31" s="28" t="s">
        <v>604</v>
      </c>
      <c r="H31" s="194">
        <v>0</v>
      </c>
    </row>
    <row r="32" spans="5:27" x14ac:dyDescent="0.25">
      <c r="F32" s="191" t="s">
        <v>192</v>
      </c>
      <c r="G32" s="28" t="s">
        <v>604</v>
      </c>
      <c r="H32" s="194">
        <v>0</v>
      </c>
    </row>
    <row r="33" spans="5:16" x14ac:dyDescent="0.25">
      <c r="F33" s="191" t="s">
        <v>193</v>
      </c>
      <c r="G33" s="28" t="s">
        <v>604</v>
      </c>
      <c r="H33" s="194">
        <v>0</v>
      </c>
      <c r="J33" s="63"/>
      <c r="K33" s="63"/>
      <c r="L33" s="63"/>
      <c r="M33" s="63"/>
      <c r="N33" s="63"/>
    </row>
    <row r="34" spans="5:16" x14ac:dyDescent="0.25">
      <c r="F34" s="191" t="s">
        <v>194</v>
      </c>
      <c r="G34" s="28" t="s">
        <v>604</v>
      </c>
      <c r="H34" s="194">
        <v>7.1912626022528343</v>
      </c>
      <c r="J34" s="63"/>
      <c r="K34" s="63"/>
      <c r="L34" s="63"/>
      <c r="M34" s="63"/>
      <c r="N34" s="63"/>
    </row>
    <row r="35" spans="5:16" x14ac:dyDescent="0.25">
      <c r="F35" s="191" t="s">
        <v>195</v>
      </c>
      <c r="G35" s="28" t="s">
        <v>604</v>
      </c>
      <c r="H35" s="194">
        <v>6.5836293458303965</v>
      </c>
      <c r="J35" s="63"/>
      <c r="K35" s="63"/>
      <c r="L35" s="63"/>
      <c r="M35" s="63"/>
      <c r="N35" s="63"/>
    </row>
    <row r="36" spans="5:16" x14ac:dyDescent="0.25">
      <c r="F36" s="191" t="s">
        <v>196</v>
      </c>
      <c r="G36" s="28" t="s">
        <v>604</v>
      </c>
      <c r="H36" s="194">
        <v>0</v>
      </c>
      <c r="J36" s="63"/>
      <c r="K36" s="63"/>
      <c r="L36" s="63"/>
      <c r="M36" s="63"/>
      <c r="N36" s="63"/>
    </row>
    <row r="37" spans="5:16" x14ac:dyDescent="0.25">
      <c r="F37" s="191" t="s">
        <v>197</v>
      </c>
      <c r="G37" s="28" t="s">
        <v>604</v>
      </c>
      <c r="H37" s="194">
        <v>27.470388991985899</v>
      </c>
      <c r="J37" s="63"/>
      <c r="K37" s="63"/>
      <c r="L37" s="63"/>
      <c r="M37" s="63"/>
      <c r="N37" s="63"/>
      <c r="O37" s="63"/>
    </row>
    <row r="38" spans="5:16" x14ac:dyDescent="0.25">
      <c r="F38" s="191" t="s">
        <v>198</v>
      </c>
      <c r="G38" s="28" t="s">
        <v>604</v>
      </c>
      <c r="H38" s="194">
        <v>6.7996772056142847</v>
      </c>
      <c r="J38" s="63"/>
      <c r="K38" s="63"/>
      <c r="L38" s="63"/>
      <c r="M38" s="63"/>
      <c r="N38" s="63"/>
      <c r="O38" s="63"/>
    </row>
    <row r="39" spans="5:16" x14ac:dyDescent="0.25">
      <c r="F39" s="192" t="s">
        <v>199</v>
      </c>
      <c r="G39" s="67" t="s">
        <v>604</v>
      </c>
      <c r="H39" s="195">
        <v>16.659358237776829</v>
      </c>
      <c r="J39" s="63"/>
      <c r="K39" s="63"/>
      <c r="L39" s="63"/>
      <c r="M39" s="63"/>
      <c r="N39" s="63"/>
      <c r="O39" s="63"/>
    </row>
    <row r="40" spans="5:16" x14ac:dyDescent="0.25">
      <c r="G40" s="28"/>
      <c r="H40" s="89"/>
      <c r="J40" s="63"/>
      <c r="K40" s="63"/>
      <c r="L40" s="63"/>
      <c r="M40" s="63"/>
      <c r="N40" s="63"/>
      <c r="O40" s="63"/>
    </row>
    <row r="41" spans="5:16" x14ac:dyDescent="0.25">
      <c r="E41" s="32" t="s">
        <v>617</v>
      </c>
      <c r="F41" s="32"/>
      <c r="H41" s="127"/>
      <c r="I41" s="3"/>
      <c r="J41" s="63"/>
      <c r="K41" s="63"/>
      <c r="L41" s="63"/>
      <c r="M41" s="63"/>
      <c r="N41" s="63"/>
      <c r="O41" s="63"/>
      <c r="P41" s="3"/>
    </row>
    <row r="42" spans="5:16" x14ac:dyDescent="0.25">
      <c r="E42" s="29" t="s">
        <v>618</v>
      </c>
      <c r="F42" s="29"/>
      <c r="H42" s="127"/>
      <c r="I42" s="3"/>
      <c r="J42" s="63"/>
      <c r="K42" s="63"/>
      <c r="L42" s="63"/>
      <c r="M42" s="63"/>
      <c r="N42" s="63"/>
      <c r="O42" s="63"/>
      <c r="P42" s="3"/>
    </row>
    <row r="43" spans="5:16" x14ac:dyDescent="0.25">
      <c r="F43" s="23" t="s">
        <v>189</v>
      </c>
      <c r="G43" s="23" t="s">
        <v>283</v>
      </c>
      <c r="H43" s="124">
        <f t="array" ref="H43:H52">TRANSPOSE('Load &amp; loss characteristics'!J29:S29)</f>
        <v>1</v>
      </c>
      <c r="I43" s="3"/>
      <c r="J43" s="63"/>
      <c r="K43" s="63"/>
      <c r="L43" s="63"/>
      <c r="M43" s="63"/>
      <c r="N43" s="63"/>
      <c r="O43" s="63"/>
    </row>
    <row r="44" spans="5:16" x14ac:dyDescent="0.25">
      <c r="F44" t="s">
        <v>191</v>
      </c>
      <c r="G44" t="s">
        <v>283</v>
      </c>
      <c r="H44" s="120">
        <v>1</v>
      </c>
      <c r="I44" s="3"/>
      <c r="J44" s="63"/>
      <c r="K44" s="63"/>
      <c r="L44" s="63"/>
      <c r="M44" s="63"/>
      <c r="N44" s="63"/>
      <c r="O44" s="63"/>
    </row>
    <row r="45" spans="5:16" x14ac:dyDescent="0.25">
      <c r="F45" t="s">
        <v>192</v>
      </c>
      <c r="G45" t="s">
        <v>283</v>
      </c>
      <c r="H45" s="120">
        <v>1</v>
      </c>
      <c r="I45" s="3"/>
      <c r="J45" s="63"/>
      <c r="K45" s="63"/>
      <c r="L45" s="63"/>
      <c r="M45" s="63"/>
      <c r="N45" s="63"/>
      <c r="O45" s="63"/>
    </row>
    <row r="46" spans="5:16" x14ac:dyDescent="0.25">
      <c r="F46" t="s">
        <v>193</v>
      </c>
      <c r="G46" t="s">
        <v>283</v>
      </c>
      <c r="H46" s="120">
        <v>1</v>
      </c>
      <c r="J46" s="63"/>
      <c r="K46" s="63"/>
      <c r="L46" s="63"/>
      <c r="M46" s="63"/>
      <c r="N46" s="63"/>
      <c r="O46" s="63"/>
    </row>
    <row r="47" spans="5:16" x14ac:dyDescent="0.25">
      <c r="F47" t="s">
        <v>194</v>
      </c>
      <c r="G47" t="s">
        <v>283</v>
      </c>
      <c r="H47" s="120">
        <v>1.014</v>
      </c>
      <c r="I47" s="3"/>
      <c r="J47" s="63"/>
      <c r="K47" s="63"/>
      <c r="L47" s="63"/>
      <c r="M47" s="63"/>
      <c r="N47" s="63"/>
      <c r="O47" s="63"/>
    </row>
    <row r="48" spans="5:16" x14ac:dyDescent="0.25">
      <c r="F48" t="s">
        <v>195</v>
      </c>
      <c r="G48" t="s">
        <v>283</v>
      </c>
      <c r="H48" s="120">
        <v>1.026</v>
      </c>
      <c r="I48" s="3"/>
      <c r="J48" s="63"/>
      <c r="K48" s="63"/>
      <c r="L48" s="63"/>
      <c r="M48" s="63"/>
      <c r="N48" s="63"/>
      <c r="O48" s="63"/>
    </row>
    <row r="49" spans="4:25" x14ac:dyDescent="0.25">
      <c r="F49" t="s">
        <v>196</v>
      </c>
      <c r="G49" t="s">
        <v>283</v>
      </c>
      <c r="H49" s="120">
        <v>1.026</v>
      </c>
      <c r="I49" s="3"/>
      <c r="J49" s="63"/>
      <c r="K49" s="63"/>
      <c r="L49" s="63"/>
      <c r="M49" s="63"/>
      <c r="N49" s="63"/>
      <c r="O49" s="63"/>
    </row>
    <row r="50" spans="4:25" x14ac:dyDescent="0.25">
      <c r="F50" t="s">
        <v>197</v>
      </c>
      <c r="G50" t="s">
        <v>283</v>
      </c>
      <c r="H50" s="120">
        <v>1.036</v>
      </c>
      <c r="J50" s="63"/>
      <c r="K50" s="63"/>
      <c r="L50" s="63"/>
      <c r="M50" s="63"/>
      <c r="N50" s="63"/>
      <c r="O50" s="63"/>
    </row>
    <row r="51" spans="4:25" x14ac:dyDescent="0.25">
      <c r="F51" t="s">
        <v>198</v>
      </c>
      <c r="G51" t="s">
        <v>283</v>
      </c>
      <c r="H51" s="120">
        <v>1.0589999999999999</v>
      </c>
      <c r="I51" s="3"/>
      <c r="J51" s="63"/>
      <c r="K51" s="63"/>
      <c r="L51" s="63"/>
      <c r="M51" s="63"/>
      <c r="N51" s="63"/>
      <c r="O51" s="63"/>
    </row>
    <row r="52" spans="4:25" x14ac:dyDescent="0.25">
      <c r="F52" s="37" t="s">
        <v>199</v>
      </c>
      <c r="G52" s="37" t="s">
        <v>283</v>
      </c>
      <c r="H52" s="125">
        <v>1.093</v>
      </c>
      <c r="I52" s="3"/>
      <c r="J52" s="63"/>
      <c r="K52" s="63"/>
      <c r="L52" s="63"/>
      <c r="M52" s="63"/>
      <c r="N52" s="63"/>
      <c r="O52" s="63"/>
    </row>
    <row r="53" spans="4:25" x14ac:dyDescent="0.25">
      <c r="G53" s="28"/>
      <c r="H53" s="3"/>
      <c r="I53" s="3"/>
      <c r="J53" s="63"/>
      <c r="K53" s="63"/>
      <c r="L53" s="63"/>
      <c r="M53" s="63"/>
      <c r="N53" s="63"/>
      <c r="O53" s="63"/>
    </row>
    <row r="54" spans="4:25" x14ac:dyDescent="0.25">
      <c r="E54" s="32" t="s">
        <v>408</v>
      </c>
      <c r="F54" s="32"/>
      <c r="J54" s="63"/>
      <c r="L54" s="63"/>
    </row>
    <row r="55" spans="4:25" x14ac:dyDescent="0.25">
      <c r="D55" s="32"/>
      <c r="E55" s="32"/>
      <c r="F55" s="190" t="s">
        <v>189</v>
      </c>
      <c r="G55" s="23" t="s">
        <v>283</v>
      </c>
      <c r="H55" s="23"/>
      <c r="I55" s="23"/>
      <c r="J55" s="193">
        <f t="array" ref="J55:Y64">TRANSPOSE('Load &amp; loss characteristics'!J145:S160)</f>
        <v>1.093</v>
      </c>
      <c r="K55" s="193">
        <v>1.093</v>
      </c>
      <c r="L55" s="193">
        <v>1.093</v>
      </c>
      <c r="M55" s="193">
        <v>1.093</v>
      </c>
      <c r="N55" s="193">
        <v>1.093</v>
      </c>
      <c r="O55" s="193">
        <v>1.0589999999999999</v>
      </c>
      <c r="P55" s="193">
        <v>1.036</v>
      </c>
      <c r="Q55" s="193">
        <v>1.093</v>
      </c>
      <c r="R55" s="193">
        <v>-1.093</v>
      </c>
      <c r="S55" s="193">
        <v>-1.0589999999999999</v>
      </c>
      <c r="T55" s="193">
        <v>-1.093</v>
      </c>
      <c r="U55" s="193">
        <v>-1.093</v>
      </c>
      <c r="V55" s="193">
        <v>-1.0589999999999999</v>
      </c>
      <c r="W55" s="193">
        <v>-1.0589999999999999</v>
      </c>
      <c r="X55" s="193">
        <v>-1.036</v>
      </c>
      <c r="Y55" s="193">
        <v>-1.036</v>
      </c>
    </row>
    <row r="56" spans="4:25" x14ac:dyDescent="0.25">
      <c r="D56" s="32"/>
      <c r="E56" s="32"/>
      <c r="F56" s="191" t="s">
        <v>191</v>
      </c>
      <c r="G56" t="s">
        <v>283</v>
      </c>
      <c r="J56" s="194">
        <v>1.093</v>
      </c>
      <c r="K56" s="194">
        <v>1.093</v>
      </c>
      <c r="L56" s="194">
        <v>1.093</v>
      </c>
      <c r="M56" s="194">
        <v>1.093</v>
      </c>
      <c r="N56" s="194">
        <v>1.093</v>
      </c>
      <c r="O56" s="194">
        <v>1.0589999999999999</v>
      </c>
      <c r="P56" s="194">
        <v>1.036</v>
      </c>
      <c r="Q56" s="194">
        <v>1.093</v>
      </c>
      <c r="R56" s="194">
        <v>-1.093</v>
      </c>
      <c r="S56" s="194">
        <v>-1.0589999999999999</v>
      </c>
      <c r="T56" s="194">
        <v>-1.093</v>
      </c>
      <c r="U56" s="194">
        <v>-1.093</v>
      </c>
      <c r="V56" s="194">
        <v>-1.0589999999999999</v>
      </c>
      <c r="W56" s="194">
        <v>-1.0589999999999999</v>
      </c>
      <c r="X56" s="194">
        <v>-1.036</v>
      </c>
      <c r="Y56" s="194">
        <v>-1.036</v>
      </c>
    </row>
    <row r="57" spans="4:25" x14ac:dyDescent="0.25">
      <c r="D57" s="32"/>
      <c r="E57" s="32"/>
      <c r="F57" s="191" t="s">
        <v>192</v>
      </c>
      <c r="G57" t="s">
        <v>283</v>
      </c>
      <c r="J57" s="194">
        <v>1.093</v>
      </c>
      <c r="K57" s="194">
        <v>1.093</v>
      </c>
      <c r="L57" s="194">
        <v>1.093</v>
      </c>
      <c r="M57" s="194">
        <v>1.093</v>
      </c>
      <c r="N57" s="194">
        <v>1.093</v>
      </c>
      <c r="O57" s="194">
        <v>1.0589999999999999</v>
      </c>
      <c r="P57" s="194">
        <v>1.036</v>
      </c>
      <c r="Q57" s="194">
        <v>1.093</v>
      </c>
      <c r="R57" s="194">
        <v>-1.093</v>
      </c>
      <c r="S57" s="194">
        <v>-1.0589999999999999</v>
      </c>
      <c r="T57" s="194">
        <v>-1.093</v>
      </c>
      <c r="U57" s="194">
        <v>-1.093</v>
      </c>
      <c r="V57" s="194">
        <v>-1.0589999999999999</v>
      </c>
      <c r="W57" s="194">
        <v>-1.0589999999999999</v>
      </c>
      <c r="X57" s="194">
        <v>-1.036</v>
      </c>
      <c r="Y57" s="194">
        <v>-1.036</v>
      </c>
    </row>
    <row r="58" spans="4:25" x14ac:dyDescent="0.25">
      <c r="D58" s="32"/>
      <c r="E58" s="32"/>
      <c r="F58" s="191" t="s">
        <v>193</v>
      </c>
      <c r="G58" t="s">
        <v>283</v>
      </c>
      <c r="J58" s="194">
        <v>1.093</v>
      </c>
      <c r="K58" s="194">
        <v>1.093</v>
      </c>
      <c r="L58" s="194">
        <v>1.093</v>
      </c>
      <c r="M58" s="194">
        <v>1.093</v>
      </c>
      <c r="N58" s="194">
        <v>1.093</v>
      </c>
      <c r="O58" s="194">
        <v>1.0589999999999999</v>
      </c>
      <c r="P58" s="194">
        <v>1.036</v>
      </c>
      <c r="Q58" s="194">
        <v>1.093</v>
      </c>
      <c r="R58" s="194">
        <v>-1.093</v>
      </c>
      <c r="S58" s="194">
        <v>-1.0589999999999999</v>
      </c>
      <c r="T58" s="194">
        <v>-1.093</v>
      </c>
      <c r="U58" s="194">
        <v>-1.093</v>
      </c>
      <c r="V58" s="194">
        <v>-1.0589999999999999</v>
      </c>
      <c r="W58" s="194">
        <v>-1.0589999999999999</v>
      </c>
      <c r="X58" s="194">
        <v>-1.036</v>
      </c>
      <c r="Y58" s="194">
        <v>-1.036</v>
      </c>
    </row>
    <row r="59" spans="4:25" x14ac:dyDescent="0.25">
      <c r="D59" s="32"/>
      <c r="E59" s="32"/>
      <c r="F59" s="191" t="s">
        <v>194</v>
      </c>
      <c r="G59" t="s">
        <v>283</v>
      </c>
      <c r="J59" s="194">
        <v>1.093</v>
      </c>
      <c r="K59" s="194">
        <v>1.093</v>
      </c>
      <c r="L59" s="194">
        <v>1.093</v>
      </c>
      <c r="M59" s="194">
        <v>1.093</v>
      </c>
      <c r="N59" s="194">
        <v>1.093</v>
      </c>
      <c r="O59" s="194">
        <v>1.0589999999999999</v>
      </c>
      <c r="P59" s="194">
        <v>1.036</v>
      </c>
      <c r="Q59" s="194">
        <v>1.093</v>
      </c>
      <c r="R59" s="194">
        <v>-1.093</v>
      </c>
      <c r="S59" s="194">
        <v>-1.0589999999999999</v>
      </c>
      <c r="T59" s="194">
        <v>-1.093</v>
      </c>
      <c r="U59" s="194">
        <v>-1.093</v>
      </c>
      <c r="V59" s="194">
        <v>-1.0589999999999999</v>
      </c>
      <c r="W59" s="194">
        <v>-1.0589999999999999</v>
      </c>
      <c r="X59" s="194">
        <v>-1.036</v>
      </c>
      <c r="Y59" s="194">
        <v>-1.036</v>
      </c>
    </row>
    <row r="60" spans="4:25" x14ac:dyDescent="0.25">
      <c r="D60" s="32"/>
      <c r="E60" s="32"/>
      <c r="F60" s="191" t="s">
        <v>195</v>
      </c>
      <c r="G60" t="s">
        <v>283</v>
      </c>
      <c r="J60" s="194">
        <v>1.093</v>
      </c>
      <c r="K60" s="194">
        <v>1.093</v>
      </c>
      <c r="L60" s="194">
        <v>1.093</v>
      </c>
      <c r="M60" s="194">
        <v>1.093</v>
      </c>
      <c r="N60" s="194">
        <v>1.093</v>
      </c>
      <c r="O60" s="194">
        <v>1.0589999999999999</v>
      </c>
      <c r="P60" s="194">
        <v>1.036</v>
      </c>
      <c r="Q60" s="194">
        <v>1.093</v>
      </c>
      <c r="R60" s="194">
        <v>-1.093</v>
      </c>
      <c r="S60" s="194">
        <v>-1.0589999999999999</v>
      </c>
      <c r="T60" s="194">
        <v>-1.093</v>
      </c>
      <c r="U60" s="194">
        <v>-1.093</v>
      </c>
      <c r="V60" s="194">
        <v>-1.0589999999999999</v>
      </c>
      <c r="W60" s="194">
        <v>-1.0589999999999999</v>
      </c>
      <c r="X60" s="194">
        <v>-1.036</v>
      </c>
      <c r="Y60" s="194">
        <v>-1.036</v>
      </c>
    </row>
    <row r="61" spans="4:25" x14ac:dyDescent="0.25">
      <c r="D61" s="32"/>
      <c r="E61" s="32"/>
      <c r="F61" s="191" t="s">
        <v>196</v>
      </c>
      <c r="G61" t="s">
        <v>283</v>
      </c>
      <c r="J61" s="194">
        <v>0</v>
      </c>
      <c r="K61" s="194">
        <v>0</v>
      </c>
      <c r="L61" s="194">
        <v>0</v>
      </c>
      <c r="M61" s="194">
        <v>0</v>
      </c>
      <c r="N61" s="194">
        <v>0</v>
      </c>
      <c r="O61" s="194">
        <v>0</v>
      </c>
      <c r="P61" s="194">
        <v>0</v>
      </c>
      <c r="Q61" s="194">
        <v>0</v>
      </c>
      <c r="R61" s="194">
        <v>0</v>
      </c>
      <c r="S61" s="194">
        <v>0</v>
      </c>
      <c r="T61" s="194">
        <v>0</v>
      </c>
      <c r="U61" s="194">
        <v>0</v>
      </c>
      <c r="V61" s="194">
        <v>0</v>
      </c>
      <c r="W61" s="194">
        <v>0</v>
      </c>
      <c r="X61" s="194">
        <v>0</v>
      </c>
      <c r="Y61" s="194">
        <v>0</v>
      </c>
    </row>
    <row r="62" spans="4:25" x14ac:dyDescent="0.25">
      <c r="D62" s="32"/>
      <c r="E62" s="32"/>
      <c r="F62" s="191" t="s">
        <v>197</v>
      </c>
      <c r="G62" t="s">
        <v>283</v>
      </c>
      <c r="J62" s="194">
        <v>1.093</v>
      </c>
      <c r="K62" s="194">
        <v>1.093</v>
      </c>
      <c r="L62" s="194">
        <v>1.093</v>
      </c>
      <c r="M62" s="194">
        <v>1.093</v>
      </c>
      <c r="N62" s="194">
        <v>1.093</v>
      </c>
      <c r="O62" s="194">
        <v>1.0589999999999999</v>
      </c>
      <c r="P62" s="194">
        <v>1.036</v>
      </c>
      <c r="Q62" s="194">
        <v>1.093</v>
      </c>
      <c r="R62" s="194">
        <v>-1.093</v>
      </c>
      <c r="S62" s="194">
        <v>-1.0589999999999999</v>
      </c>
      <c r="T62" s="194">
        <v>-1.093</v>
      </c>
      <c r="U62" s="194">
        <v>-1.093</v>
      </c>
      <c r="V62" s="194">
        <v>-1.0589999999999999</v>
      </c>
      <c r="W62" s="194">
        <v>-1.0589999999999999</v>
      </c>
      <c r="X62" s="194">
        <v>0</v>
      </c>
      <c r="Y62" s="194">
        <v>0</v>
      </c>
    </row>
    <row r="63" spans="4:25" x14ac:dyDescent="0.25">
      <c r="D63" s="32"/>
      <c r="E63" s="32"/>
      <c r="F63" s="191" t="s">
        <v>198</v>
      </c>
      <c r="G63" t="s">
        <v>283</v>
      </c>
      <c r="J63" s="194">
        <v>1.093</v>
      </c>
      <c r="K63" s="194">
        <v>1.093</v>
      </c>
      <c r="L63" s="194">
        <v>1.093</v>
      </c>
      <c r="M63" s="194">
        <v>1.093</v>
      </c>
      <c r="N63" s="194">
        <v>1.093</v>
      </c>
      <c r="O63" s="194">
        <v>1.0589999999999999</v>
      </c>
      <c r="P63" s="194">
        <v>0</v>
      </c>
      <c r="Q63" s="194">
        <v>1.093</v>
      </c>
      <c r="R63" s="194">
        <v>-1.093</v>
      </c>
      <c r="S63" s="194">
        <v>0</v>
      </c>
      <c r="T63" s="194">
        <v>-1.093</v>
      </c>
      <c r="U63" s="194">
        <v>-1.093</v>
      </c>
      <c r="V63" s="194">
        <v>0</v>
      </c>
      <c r="W63" s="194">
        <v>0</v>
      </c>
      <c r="X63" s="194">
        <v>0</v>
      </c>
      <c r="Y63" s="194">
        <v>0</v>
      </c>
    </row>
    <row r="64" spans="4:25" x14ac:dyDescent="0.25">
      <c r="D64" s="32"/>
      <c r="E64" s="32"/>
      <c r="F64" s="192" t="s">
        <v>199</v>
      </c>
      <c r="G64" s="37" t="s">
        <v>283</v>
      </c>
      <c r="H64" s="37"/>
      <c r="I64" s="37"/>
      <c r="J64" s="195">
        <v>1.093</v>
      </c>
      <c r="K64" s="195">
        <v>1.093</v>
      </c>
      <c r="L64" s="195">
        <v>1.093</v>
      </c>
      <c r="M64" s="195">
        <v>1.093</v>
      </c>
      <c r="N64" s="195">
        <v>1.093</v>
      </c>
      <c r="O64" s="195">
        <v>0</v>
      </c>
      <c r="P64" s="195">
        <v>0</v>
      </c>
      <c r="Q64" s="195">
        <v>1.093</v>
      </c>
      <c r="R64" s="195">
        <v>0</v>
      </c>
      <c r="S64" s="195">
        <v>0</v>
      </c>
      <c r="T64" s="195">
        <v>0</v>
      </c>
      <c r="U64" s="195">
        <v>0</v>
      </c>
      <c r="V64" s="195">
        <v>0</v>
      </c>
      <c r="W64" s="195">
        <v>0</v>
      </c>
      <c r="X64" s="195">
        <v>0</v>
      </c>
      <c r="Y64" s="195">
        <v>0</v>
      </c>
    </row>
    <row r="65" spans="3:25" x14ac:dyDescent="0.25">
      <c r="D65" s="32"/>
      <c r="E65" s="32"/>
      <c r="J65" s="163"/>
      <c r="K65" s="163"/>
      <c r="L65" s="163"/>
      <c r="M65" s="163"/>
      <c r="N65" s="163"/>
      <c r="O65" s="163"/>
      <c r="P65" s="163"/>
      <c r="Q65" s="163"/>
      <c r="R65" s="163"/>
      <c r="S65" s="163"/>
      <c r="T65" s="163"/>
      <c r="U65" s="163"/>
      <c r="V65" s="163"/>
      <c r="W65" s="163"/>
      <c r="X65" s="163"/>
      <c r="Y65" s="163"/>
    </row>
    <row r="66" spans="3:25" x14ac:dyDescent="0.25">
      <c r="E66" s="32" t="s">
        <v>416</v>
      </c>
      <c r="J66" s="163"/>
      <c r="K66" s="163"/>
      <c r="L66" s="163"/>
      <c r="M66" s="163"/>
      <c r="N66" s="163"/>
      <c r="O66" s="163"/>
      <c r="P66" s="163"/>
      <c r="Q66" s="163"/>
      <c r="R66" s="163"/>
      <c r="S66" s="163"/>
      <c r="T66" s="163"/>
      <c r="U66" s="163"/>
      <c r="V66" s="163"/>
      <c r="W66" s="163"/>
      <c r="X66" s="163"/>
      <c r="Y66" s="163"/>
    </row>
    <row r="67" spans="3:25" x14ac:dyDescent="0.25">
      <c r="D67" s="32"/>
      <c r="E67" s="32"/>
      <c r="F67" s="190" t="s">
        <v>189</v>
      </c>
      <c r="G67" s="64" t="s">
        <v>167</v>
      </c>
      <c r="H67" s="23"/>
      <c r="I67" s="23"/>
      <c r="J67" s="196"/>
      <c r="K67" s="196"/>
      <c r="L67" s="196"/>
      <c r="M67" s="196"/>
      <c r="N67" s="196"/>
      <c r="O67" s="196"/>
      <c r="P67" s="196"/>
      <c r="Q67" s="196"/>
      <c r="R67" s="196"/>
      <c r="S67" s="196"/>
      <c r="T67" s="196"/>
      <c r="U67" s="196"/>
      <c r="V67" s="196"/>
      <c r="W67" s="196"/>
      <c r="X67" s="196"/>
      <c r="Y67" s="196"/>
    </row>
    <row r="68" spans="3:25" x14ac:dyDescent="0.25">
      <c r="D68" s="32"/>
      <c r="E68" s="32"/>
      <c r="F68" s="191" t="s">
        <v>191</v>
      </c>
      <c r="G68" s="28" t="s">
        <v>167</v>
      </c>
      <c r="J68" s="197"/>
      <c r="K68" s="197"/>
      <c r="L68" s="197"/>
      <c r="M68" s="197"/>
      <c r="N68" s="197"/>
      <c r="O68" s="197"/>
      <c r="P68" s="197"/>
      <c r="Q68" s="197"/>
      <c r="R68" s="197"/>
      <c r="S68" s="197"/>
      <c r="T68" s="197"/>
      <c r="U68" s="197"/>
      <c r="V68" s="197"/>
      <c r="W68" s="197"/>
      <c r="X68" s="197"/>
      <c r="Y68" s="197"/>
    </row>
    <row r="69" spans="3:25" x14ac:dyDescent="0.25">
      <c r="D69" s="32"/>
      <c r="E69" s="32"/>
      <c r="F69" s="191" t="s">
        <v>192</v>
      </c>
      <c r="G69" s="28" t="s">
        <v>167</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25">
      <c r="D70" s="32"/>
      <c r="E70" s="32"/>
      <c r="F70" s="191" t="s">
        <v>193</v>
      </c>
      <c r="G70" s="28" t="s">
        <v>167</v>
      </c>
      <c r="J70" s="194">
        <v>0</v>
      </c>
      <c r="K70" s="194">
        <v>0</v>
      </c>
      <c r="L70" s="194">
        <v>0</v>
      </c>
      <c r="M70" s="194">
        <v>0</v>
      </c>
      <c r="N70" s="194">
        <v>0</v>
      </c>
      <c r="O70" s="194">
        <v>0</v>
      </c>
      <c r="P70" s="194">
        <v>0</v>
      </c>
      <c r="Q70" s="194">
        <v>0</v>
      </c>
      <c r="R70" s="194">
        <v>0</v>
      </c>
      <c r="S70" s="194">
        <v>0</v>
      </c>
      <c r="T70" s="194">
        <v>0</v>
      </c>
      <c r="U70" s="194">
        <v>0</v>
      </c>
      <c r="V70" s="194">
        <v>0</v>
      </c>
      <c r="W70" s="194">
        <v>0</v>
      </c>
      <c r="X70" s="194">
        <v>0</v>
      </c>
      <c r="Y70" s="194">
        <v>0</v>
      </c>
    </row>
    <row r="71" spans="3:25" x14ac:dyDescent="0.25">
      <c r="D71" s="32"/>
      <c r="E71" s="32"/>
      <c r="F71" s="191" t="s">
        <v>194</v>
      </c>
      <c r="G71" s="28" t="s">
        <v>167</v>
      </c>
      <c r="J71" s="194">
        <v>6.4338235294117696E-3</v>
      </c>
      <c r="K71" s="194">
        <v>6.4338235294117696E-3</v>
      </c>
      <c r="L71" s="194">
        <v>6.4338235294117696E-3</v>
      </c>
      <c r="M71" s="194">
        <v>6.4338235294117696E-3</v>
      </c>
      <c r="N71" s="194">
        <v>6.4338235294117696E-3</v>
      </c>
      <c r="O71" s="194">
        <v>6.4338235294117696E-3</v>
      </c>
      <c r="P71" s="194">
        <v>1.16978609625668E-2</v>
      </c>
      <c r="Q71" s="194">
        <v>6.4338235294117696E-3</v>
      </c>
      <c r="R71" s="194">
        <v>6.4338235294117696E-3</v>
      </c>
      <c r="S71" s="194">
        <v>6.4338235294117696E-3</v>
      </c>
      <c r="T71" s="194">
        <v>6.4338235294117696E-3</v>
      </c>
      <c r="U71" s="194">
        <v>6.4338235294117696E-3</v>
      </c>
      <c r="V71" s="194">
        <v>6.4338235294117696E-3</v>
      </c>
      <c r="W71" s="194">
        <v>6.4338235294117696E-3</v>
      </c>
      <c r="X71" s="194">
        <v>1.16978609625668E-2</v>
      </c>
      <c r="Y71" s="194">
        <v>1.16978609625668E-2</v>
      </c>
    </row>
    <row r="72" spans="3:25" x14ac:dyDescent="0.25">
      <c r="D72" s="32"/>
      <c r="E72" s="32"/>
      <c r="F72" s="191" t="s">
        <v>195</v>
      </c>
      <c r="G72" s="28" t="s">
        <v>167</v>
      </c>
      <c r="J72" s="194">
        <v>4.1617122473246101E-3</v>
      </c>
      <c r="K72" s="194">
        <v>4.1617122473246101E-3</v>
      </c>
      <c r="L72" s="194">
        <v>4.1617122473246101E-3</v>
      </c>
      <c r="M72" s="194">
        <v>4.1617122473246101E-3</v>
      </c>
      <c r="N72" s="194">
        <v>4.1617122473246101E-3</v>
      </c>
      <c r="O72" s="194">
        <v>4.1617122473246101E-3</v>
      </c>
      <c r="P72" s="194">
        <v>7.56674954059021E-3</v>
      </c>
      <c r="Q72" s="194">
        <v>4.1617122473246101E-3</v>
      </c>
      <c r="R72" s="194">
        <v>4.1617122473246101E-3</v>
      </c>
      <c r="S72" s="194">
        <v>4.1617122473246101E-3</v>
      </c>
      <c r="T72" s="194">
        <v>4.1617122473246101E-3</v>
      </c>
      <c r="U72" s="194">
        <v>4.1617122473246101E-3</v>
      </c>
      <c r="V72" s="194">
        <v>4.1617122473246101E-3</v>
      </c>
      <c r="W72" s="194">
        <v>4.1617122473246101E-3</v>
      </c>
      <c r="X72" s="194">
        <v>7.56674954059021E-3</v>
      </c>
      <c r="Y72" s="194">
        <v>7.56674954059021E-3</v>
      </c>
    </row>
    <row r="73" spans="3:25" x14ac:dyDescent="0.25">
      <c r="D73" s="32"/>
      <c r="E73" s="32"/>
      <c r="F73" s="191" t="s">
        <v>196</v>
      </c>
      <c r="G73" s="28" t="s">
        <v>167</v>
      </c>
      <c r="J73" s="194">
        <v>0</v>
      </c>
      <c r="K73" s="194">
        <v>0</v>
      </c>
      <c r="L73" s="194">
        <v>0</v>
      </c>
      <c r="M73" s="194">
        <v>0</v>
      </c>
      <c r="N73" s="194">
        <v>0</v>
      </c>
      <c r="O73" s="194">
        <v>0</v>
      </c>
      <c r="P73" s="194">
        <v>0</v>
      </c>
      <c r="Q73" s="194">
        <v>0</v>
      </c>
      <c r="R73" s="194">
        <v>0</v>
      </c>
      <c r="S73" s="194">
        <v>0</v>
      </c>
      <c r="T73" s="194">
        <v>0</v>
      </c>
      <c r="U73" s="194">
        <v>0</v>
      </c>
      <c r="V73" s="194">
        <v>0</v>
      </c>
      <c r="W73" s="194">
        <v>0</v>
      </c>
      <c r="X73" s="194">
        <v>0</v>
      </c>
      <c r="Y73" s="194">
        <v>0</v>
      </c>
    </row>
    <row r="74" spans="3:25" x14ac:dyDescent="0.25">
      <c r="D74" s="32"/>
      <c r="E74" s="32"/>
      <c r="F74" s="191" t="s">
        <v>197</v>
      </c>
      <c r="G74" s="28" t="s">
        <v>167</v>
      </c>
      <c r="J74" s="194">
        <v>0.42522380337704002</v>
      </c>
      <c r="K74" s="194">
        <v>0.42522380337704002</v>
      </c>
      <c r="L74" s="194">
        <v>0.42522380337704002</v>
      </c>
      <c r="M74" s="194">
        <v>0.42522380337704002</v>
      </c>
      <c r="N74" s="194">
        <v>0.42522380337704002</v>
      </c>
      <c r="O74" s="194">
        <v>0.42522380337704002</v>
      </c>
      <c r="P74" s="194">
        <v>0.38896884219615702</v>
      </c>
      <c r="Q74" s="194">
        <v>0.42522380337704002</v>
      </c>
      <c r="R74" s="194">
        <v>0.42522380337704002</v>
      </c>
      <c r="S74" s="194">
        <v>0.42522380337704002</v>
      </c>
      <c r="T74" s="194">
        <v>0.42522380337704002</v>
      </c>
      <c r="U74" s="194">
        <v>0.42522380337704002</v>
      </c>
      <c r="V74" s="194">
        <v>0.42522380337704002</v>
      </c>
      <c r="W74" s="194">
        <v>0.42522380337704002</v>
      </c>
      <c r="X74" s="194">
        <v>0.38896884219615702</v>
      </c>
      <c r="Y74" s="194">
        <v>0.38896884219615702</v>
      </c>
    </row>
    <row r="75" spans="3:25" x14ac:dyDescent="0.25">
      <c r="D75" s="32"/>
      <c r="E75" s="32"/>
      <c r="F75" s="191" t="s">
        <v>198</v>
      </c>
      <c r="G75" s="28" t="s">
        <v>167</v>
      </c>
      <c r="J75" s="194">
        <v>0.78260869565217395</v>
      </c>
      <c r="K75" s="194">
        <v>0.78260869565217395</v>
      </c>
      <c r="L75" s="194">
        <v>0.78260869565217395</v>
      </c>
      <c r="M75" s="194">
        <v>0.78260869565217395</v>
      </c>
      <c r="N75" s="194">
        <v>0.78260869565217395</v>
      </c>
      <c r="O75" s="194">
        <v>0.78260869565217395</v>
      </c>
      <c r="P75" s="194">
        <v>0</v>
      </c>
      <c r="Q75" s="194">
        <v>0.78260869565217395</v>
      </c>
      <c r="R75" s="194">
        <v>0.78260869565217395</v>
      </c>
      <c r="S75" s="194">
        <v>0.78260869565217395</v>
      </c>
      <c r="T75" s="194">
        <v>0.78260869565217395</v>
      </c>
      <c r="U75" s="194">
        <v>0.78260869565217395</v>
      </c>
      <c r="V75" s="194">
        <v>0.78260869565217395</v>
      </c>
      <c r="W75" s="194">
        <v>0.78260869565217395</v>
      </c>
      <c r="X75" s="194">
        <v>0</v>
      </c>
      <c r="Y75" s="194">
        <v>0</v>
      </c>
    </row>
    <row r="76" spans="3:25" x14ac:dyDescent="0.25">
      <c r="D76" s="32"/>
      <c r="E76" s="32"/>
      <c r="F76" s="192" t="s">
        <v>199</v>
      </c>
      <c r="G76" s="67" t="s">
        <v>167</v>
      </c>
      <c r="H76" s="37"/>
      <c r="I76" s="37"/>
      <c r="J76" s="195">
        <v>0.966742252456538</v>
      </c>
      <c r="K76" s="195">
        <v>0.966742252456538</v>
      </c>
      <c r="L76" s="195">
        <v>0.966742252456538</v>
      </c>
      <c r="M76" s="195">
        <v>0.966742252456538</v>
      </c>
      <c r="N76" s="195">
        <v>0.966742252456538</v>
      </c>
      <c r="O76" s="195">
        <v>0</v>
      </c>
      <c r="P76" s="195">
        <v>0</v>
      </c>
      <c r="Q76" s="195">
        <v>0.966742252456538</v>
      </c>
      <c r="R76" s="195">
        <v>0.966742252456538</v>
      </c>
      <c r="S76" s="195">
        <v>0</v>
      </c>
      <c r="T76" s="195">
        <v>0.966742252456538</v>
      </c>
      <c r="U76" s="195">
        <v>0.966742252456538</v>
      </c>
      <c r="V76" s="195">
        <v>0</v>
      </c>
      <c r="W76" s="195">
        <v>0</v>
      </c>
      <c r="X76" s="195">
        <v>0</v>
      </c>
      <c r="Y76" s="195">
        <v>0</v>
      </c>
    </row>
    <row r="77" spans="3:25" x14ac:dyDescent="0.25">
      <c r="C77" s="32"/>
      <c r="D77" s="32"/>
      <c r="J77" s="163"/>
      <c r="K77" s="163"/>
      <c r="L77" s="163"/>
      <c r="M77" s="163"/>
      <c r="N77" s="163"/>
      <c r="O77" s="163"/>
      <c r="P77" s="163"/>
      <c r="Q77" s="163"/>
      <c r="R77" s="163"/>
      <c r="S77" s="163"/>
      <c r="T77" s="163"/>
      <c r="U77" s="163"/>
      <c r="V77" s="163"/>
      <c r="W77" s="163"/>
      <c r="X77" s="163"/>
      <c r="Y77" s="163"/>
    </row>
    <row r="78" spans="3:25" x14ac:dyDescent="0.25">
      <c r="E78" s="28" t="s">
        <v>472</v>
      </c>
      <c r="F78" s="28"/>
      <c r="G78" s="28" t="s">
        <v>283</v>
      </c>
      <c r="J78" s="194">
        <f>'Pseudo-load coefficients'!J267</f>
        <v>1.9165523428393754</v>
      </c>
      <c r="K78" s="194">
        <f>'Pseudo-load coefficients'!K267</f>
        <v>0</v>
      </c>
      <c r="L78" s="194">
        <f>'Pseudo-load coefficients'!L267</f>
        <v>1.6935453111111198</v>
      </c>
      <c r="M78" s="194">
        <f>'Pseudo-load coefficients'!M267</f>
        <v>0</v>
      </c>
      <c r="N78" s="194">
        <f>'Pseudo-load coefficients'!N267</f>
        <v>1.4159379139107278</v>
      </c>
      <c r="O78" s="194">
        <f>'Pseudo-load coefficients'!O267</f>
        <v>1.1246259058661519</v>
      </c>
      <c r="P78" s="194">
        <f>'Pseudo-load coefficients'!P267</f>
        <v>1.1853543109769793</v>
      </c>
      <c r="Q78" s="194">
        <f>'Pseudo-load coefficients'!Q267</f>
        <v>1.7458171692959752</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25">
      <c r="D79" s="32"/>
      <c r="J79" s="163"/>
      <c r="K79" s="163"/>
      <c r="L79" s="163"/>
      <c r="M79" s="163"/>
      <c r="N79" s="163"/>
      <c r="O79" s="163"/>
      <c r="P79" s="163"/>
      <c r="Q79" s="163"/>
      <c r="R79" s="163"/>
      <c r="S79" s="163"/>
      <c r="T79" s="163"/>
      <c r="U79" s="163"/>
      <c r="V79" s="163"/>
      <c r="W79" s="163"/>
      <c r="X79" s="163"/>
      <c r="Y79" s="163"/>
    </row>
    <row r="80" spans="3:25" x14ac:dyDescent="0.25">
      <c r="E80" s="32" t="s">
        <v>507</v>
      </c>
      <c r="J80" s="163"/>
      <c r="K80" s="163"/>
      <c r="L80" s="163"/>
      <c r="M80" s="163"/>
      <c r="N80" s="163"/>
      <c r="O80" s="163"/>
      <c r="P80" s="163"/>
      <c r="Q80" s="163"/>
      <c r="R80" s="163"/>
      <c r="S80" s="163"/>
      <c r="T80" s="163"/>
      <c r="U80" s="163"/>
      <c r="V80" s="163"/>
      <c r="W80" s="163"/>
      <c r="X80" s="163"/>
      <c r="Y80" s="163"/>
    </row>
    <row r="81" spans="5:25" x14ac:dyDescent="0.25">
      <c r="E81" s="32"/>
      <c r="F81" s="190" t="s">
        <v>189</v>
      </c>
      <c r="G81" s="64" t="s">
        <v>283</v>
      </c>
      <c r="H81" s="23"/>
      <c r="I81" s="23"/>
      <c r="J81" s="193">
        <f>'Pseudo-load coefficients'!J272</f>
        <v>7.9590922138949738</v>
      </c>
      <c r="K81" s="193">
        <f>'Pseudo-load coefficients'!K272</f>
        <v>7.9590922138949738</v>
      </c>
      <c r="L81" s="193">
        <f>'Pseudo-load coefficients'!L272</f>
        <v>8.3116359979830161</v>
      </c>
      <c r="M81" s="193">
        <f>'Pseudo-load coefficients'!M272</f>
        <v>8.3116359979830161</v>
      </c>
      <c r="N81" s="193">
        <f>'Pseudo-load coefficients'!N272</f>
        <v>7.415228280497602</v>
      </c>
      <c r="O81" s="193">
        <f>'Pseudo-load coefficients'!O272</f>
        <v>6.3116733031268604</v>
      </c>
      <c r="P81" s="193">
        <f>'Pseudo-load coefficients'!P272</f>
        <v>6.4617389497331343</v>
      </c>
      <c r="Q81" s="193">
        <f>'Pseudo-load coefficients'!Q272</f>
        <v>15.37837265110007</v>
      </c>
      <c r="R81" s="193">
        <f>'Pseudo-load coefficients'!R272</f>
        <v>5.7057471264367825</v>
      </c>
      <c r="S81" s="193">
        <f>'Pseudo-load coefficients'!S272</f>
        <v>5.7057471264367825</v>
      </c>
      <c r="T81" s="193">
        <f>'Pseudo-load coefficients'!T272</f>
        <v>5.7057471264367825</v>
      </c>
      <c r="U81" s="193">
        <f>'Pseudo-load coefficients'!U272</f>
        <v>5.7057471264367825</v>
      </c>
      <c r="V81" s="193">
        <f>'Pseudo-load coefficients'!V272</f>
        <v>5.7057471264367825</v>
      </c>
      <c r="W81" s="193">
        <f>'Pseudo-load coefficients'!W272</f>
        <v>5.7057471264367825</v>
      </c>
      <c r="X81" s="193">
        <f>'Pseudo-load coefficients'!X272</f>
        <v>5.7057471264367825</v>
      </c>
      <c r="Y81" s="193">
        <f>'Pseudo-load coefficients'!Y272</f>
        <v>5.7057471264367825</v>
      </c>
    </row>
    <row r="82" spans="5:25" x14ac:dyDescent="0.25">
      <c r="E82" s="32"/>
      <c r="F82" s="191" t="s">
        <v>191</v>
      </c>
      <c r="G82" s="28" t="s">
        <v>283</v>
      </c>
      <c r="J82" s="194">
        <f>'Pseudo-load coefficients'!J272</f>
        <v>7.9590922138949738</v>
      </c>
      <c r="K82" s="194">
        <f>'Pseudo-load coefficients'!K272</f>
        <v>7.9590922138949738</v>
      </c>
      <c r="L82" s="194">
        <f>'Pseudo-load coefficients'!L272</f>
        <v>8.3116359979830161</v>
      </c>
      <c r="M82" s="194">
        <f>'Pseudo-load coefficients'!M272</f>
        <v>8.3116359979830161</v>
      </c>
      <c r="N82" s="194">
        <f>'Pseudo-load coefficients'!N272</f>
        <v>7.415228280497602</v>
      </c>
      <c r="O82" s="194">
        <f>'Pseudo-load coefficients'!O272</f>
        <v>6.3116733031268604</v>
      </c>
      <c r="P82" s="194">
        <f>'Pseudo-load coefficients'!P272</f>
        <v>6.4617389497331343</v>
      </c>
      <c r="Q82" s="194">
        <f>'Pseudo-load coefficients'!Q272</f>
        <v>15.37837265110007</v>
      </c>
      <c r="R82" s="194">
        <f>'Pseudo-load coefficients'!R272</f>
        <v>5.7057471264367825</v>
      </c>
      <c r="S82" s="194">
        <f>'Pseudo-load coefficients'!S272</f>
        <v>5.7057471264367825</v>
      </c>
      <c r="T82" s="194">
        <f>'Pseudo-load coefficients'!T272</f>
        <v>5.7057471264367825</v>
      </c>
      <c r="U82" s="194">
        <f>'Pseudo-load coefficients'!U272</f>
        <v>5.7057471264367825</v>
      </c>
      <c r="V82" s="194">
        <f>'Pseudo-load coefficients'!V272</f>
        <v>5.7057471264367825</v>
      </c>
      <c r="W82" s="194">
        <f>'Pseudo-load coefficients'!W272</f>
        <v>5.7057471264367825</v>
      </c>
      <c r="X82" s="194">
        <f>'Pseudo-load coefficients'!X272</f>
        <v>5.7057471264367825</v>
      </c>
      <c r="Y82" s="194">
        <f>'Pseudo-load coefficients'!Y272</f>
        <v>5.7057471264367825</v>
      </c>
    </row>
    <row r="83" spans="5:25" x14ac:dyDescent="0.25">
      <c r="E83" s="32"/>
      <c r="F83" s="191" t="s">
        <v>192</v>
      </c>
      <c r="G83" s="28" t="s">
        <v>283</v>
      </c>
      <c r="J83" s="194">
        <f>'Pseudo-load coefficients'!J273</f>
        <v>0</v>
      </c>
      <c r="K83" s="194">
        <f>'Pseudo-load coefficients'!K273</f>
        <v>0</v>
      </c>
      <c r="L83" s="194">
        <f>'Pseudo-load coefficients'!L273</f>
        <v>0</v>
      </c>
      <c r="M83" s="194">
        <f>'Pseudo-load coefficients'!M273</f>
        <v>0</v>
      </c>
      <c r="N83" s="194">
        <f>'Pseudo-load coefficients'!N273</f>
        <v>0</v>
      </c>
      <c r="O83" s="194">
        <f>'Pseudo-load coefficients'!O273</f>
        <v>0</v>
      </c>
      <c r="P83" s="194">
        <f>'Pseudo-load coefficients'!P273</f>
        <v>0</v>
      </c>
      <c r="Q83" s="194">
        <f>'Pseudo-load coefficients'!Q273</f>
        <v>0</v>
      </c>
      <c r="R83" s="194">
        <f>'Pseudo-load coefficients'!R273</f>
        <v>0</v>
      </c>
      <c r="S83" s="194">
        <f>'Pseudo-load coefficients'!S273</f>
        <v>0</v>
      </c>
      <c r="T83" s="194">
        <f>'Pseudo-load coefficients'!T273</f>
        <v>0</v>
      </c>
      <c r="U83" s="194">
        <f>'Pseudo-load coefficients'!U273</f>
        <v>0</v>
      </c>
      <c r="V83" s="194">
        <f>'Pseudo-load coefficients'!V273</f>
        <v>0</v>
      </c>
      <c r="W83" s="194">
        <f>'Pseudo-load coefficients'!W273</f>
        <v>0</v>
      </c>
      <c r="X83" s="194">
        <f>'Pseudo-load coefficients'!X273</f>
        <v>0</v>
      </c>
      <c r="Y83" s="194">
        <f>'Pseudo-load coefficients'!Y273</f>
        <v>0</v>
      </c>
    </row>
    <row r="84" spans="5:25" x14ac:dyDescent="0.25">
      <c r="E84" s="32"/>
      <c r="F84" s="191" t="s">
        <v>193</v>
      </c>
      <c r="G84" s="28" t="s">
        <v>283</v>
      </c>
      <c r="J84" s="194">
        <f>'Pseudo-load coefficients'!J274</f>
        <v>0</v>
      </c>
      <c r="K84" s="194">
        <f>'Pseudo-load coefficients'!K274</f>
        <v>0</v>
      </c>
      <c r="L84" s="194">
        <f>'Pseudo-load coefficients'!L274</f>
        <v>0</v>
      </c>
      <c r="M84" s="194">
        <f>'Pseudo-load coefficients'!M274</f>
        <v>0</v>
      </c>
      <c r="N84" s="194">
        <f>'Pseudo-load coefficients'!N274</f>
        <v>0</v>
      </c>
      <c r="O84" s="194">
        <f>'Pseudo-load coefficients'!O274</f>
        <v>0</v>
      </c>
      <c r="P84" s="194">
        <f>'Pseudo-load coefficients'!P274</f>
        <v>0</v>
      </c>
      <c r="Q84" s="194">
        <f>'Pseudo-load coefficients'!Q274</f>
        <v>0</v>
      </c>
      <c r="R84" s="194">
        <f>'Pseudo-load coefficients'!R274</f>
        <v>0</v>
      </c>
      <c r="S84" s="194">
        <f>'Pseudo-load coefficients'!S274</f>
        <v>0</v>
      </c>
      <c r="T84" s="194">
        <f>'Pseudo-load coefficients'!T274</f>
        <v>0</v>
      </c>
      <c r="U84" s="194">
        <f>'Pseudo-load coefficients'!U274</f>
        <v>0</v>
      </c>
      <c r="V84" s="194">
        <f>'Pseudo-load coefficients'!V274</f>
        <v>0</v>
      </c>
      <c r="W84" s="194">
        <f>'Pseudo-load coefficients'!W274</f>
        <v>0</v>
      </c>
      <c r="X84" s="194">
        <f>'Pseudo-load coefficients'!X274</f>
        <v>0</v>
      </c>
      <c r="Y84" s="194">
        <f>'Pseudo-load coefficients'!Y274</f>
        <v>0</v>
      </c>
    </row>
    <row r="85" spans="5:25" x14ac:dyDescent="0.25">
      <c r="E85" s="32"/>
      <c r="F85" s="191" t="s">
        <v>194</v>
      </c>
      <c r="G85" s="28" t="s">
        <v>283</v>
      </c>
      <c r="J85" s="194">
        <f>'Pseudo-load coefficients'!J275</f>
        <v>7.1787890556699754</v>
      </c>
      <c r="K85" s="194">
        <f>'Pseudo-load coefficients'!K275</f>
        <v>7.1787890556699754</v>
      </c>
      <c r="L85" s="194">
        <f>'Pseudo-load coefficients'!L275</f>
        <v>7.4967697236709547</v>
      </c>
      <c r="M85" s="194">
        <f>'Pseudo-load coefficients'!M275</f>
        <v>7.4967697236709547</v>
      </c>
      <c r="N85" s="194">
        <f>'Pseudo-load coefficients'!N275</f>
        <v>6.6882451157429355</v>
      </c>
      <c r="O85" s="194">
        <f>'Pseudo-load coefficients'!O275</f>
        <v>5.6928818028203052</v>
      </c>
      <c r="P85" s="194">
        <f>'Pseudo-load coefficients'!P275</f>
        <v>5.8282351311318461</v>
      </c>
      <c r="Q85" s="194">
        <f>'Pseudo-load coefficients'!Q275</f>
        <v>12.377714572836643</v>
      </c>
      <c r="R85" s="194">
        <f>'Pseudo-load coefficients'!R275</f>
        <v>5.1463601532567056</v>
      </c>
      <c r="S85" s="194">
        <f>'Pseudo-load coefficients'!S275</f>
        <v>5.1463601532567056</v>
      </c>
      <c r="T85" s="194">
        <f>'Pseudo-load coefficients'!T275</f>
        <v>5.1463601532567056</v>
      </c>
      <c r="U85" s="194">
        <f>'Pseudo-load coefficients'!U275</f>
        <v>5.1463601532567056</v>
      </c>
      <c r="V85" s="194">
        <f>'Pseudo-load coefficients'!V275</f>
        <v>5.1463601532567056</v>
      </c>
      <c r="W85" s="194">
        <f>'Pseudo-load coefficients'!W275</f>
        <v>5.1463601532567056</v>
      </c>
      <c r="X85" s="194">
        <f>'Pseudo-load coefficients'!X275</f>
        <v>5.1463601532567056</v>
      </c>
      <c r="Y85" s="194">
        <f>'Pseudo-load coefficients'!Y275</f>
        <v>5.1463601532567056</v>
      </c>
    </row>
    <row r="86" spans="5:25" x14ac:dyDescent="0.25">
      <c r="E86" s="32"/>
      <c r="F86" s="191" t="s">
        <v>195</v>
      </c>
      <c r="G86" s="28" t="s">
        <v>283</v>
      </c>
      <c r="J86" s="194">
        <f>'Pseudo-load coefficients'!J276</f>
        <v>7.1787890556699754</v>
      </c>
      <c r="K86" s="194">
        <f>'Pseudo-load coefficients'!K276</f>
        <v>7.1787890556699754</v>
      </c>
      <c r="L86" s="194">
        <f>'Pseudo-load coefficients'!L276</f>
        <v>7.4967697236709547</v>
      </c>
      <c r="M86" s="194">
        <f>'Pseudo-load coefficients'!M276</f>
        <v>7.4967697236709547</v>
      </c>
      <c r="N86" s="194">
        <f>'Pseudo-load coefficients'!N276</f>
        <v>6.6882451157429355</v>
      </c>
      <c r="O86" s="194">
        <f>'Pseudo-load coefficients'!O276</f>
        <v>5.6928818028203052</v>
      </c>
      <c r="P86" s="194">
        <f>'Pseudo-load coefficients'!P276</f>
        <v>5.8282351311318461</v>
      </c>
      <c r="Q86" s="194">
        <f>'Pseudo-load coefficients'!Q276</f>
        <v>12.377714572836643</v>
      </c>
      <c r="R86" s="194">
        <f>'Pseudo-load coefficients'!R276</f>
        <v>5.1463601532567056</v>
      </c>
      <c r="S86" s="194">
        <f>'Pseudo-load coefficients'!S276</f>
        <v>5.1463601532567056</v>
      </c>
      <c r="T86" s="194">
        <f>'Pseudo-load coefficients'!T276</f>
        <v>5.1463601532567056</v>
      </c>
      <c r="U86" s="194">
        <f>'Pseudo-load coefficients'!U276</f>
        <v>5.1463601532567056</v>
      </c>
      <c r="V86" s="194">
        <f>'Pseudo-load coefficients'!V276</f>
        <v>5.1463601532567056</v>
      </c>
      <c r="W86" s="194">
        <f>'Pseudo-load coefficients'!W276</f>
        <v>5.1463601532567056</v>
      </c>
      <c r="X86" s="194">
        <f>'Pseudo-load coefficients'!X276</f>
        <v>5.1463601532567056</v>
      </c>
      <c r="Y86" s="194">
        <f>'Pseudo-load coefficients'!Y276</f>
        <v>5.1463601532567056</v>
      </c>
    </row>
    <row r="87" spans="5:25" x14ac:dyDescent="0.25">
      <c r="E87" s="32"/>
      <c r="F87" s="191" t="s">
        <v>196</v>
      </c>
      <c r="G87" s="28" t="s">
        <v>283</v>
      </c>
      <c r="J87" s="194">
        <f>'Pseudo-load coefficients'!J277</f>
        <v>0</v>
      </c>
      <c r="K87" s="194">
        <f>'Pseudo-load coefficients'!K277</f>
        <v>0</v>
      </c>
      <c r="L87" s="194">
        <f>'Pseudo-load coefficients'!L277</f>
        <v>0</v>
      </c>
      <c r="M87" s="194">
        <f>'Pseudo-load coefficients'!M277</f>
        <v>0</v>
      </c>
      <c r="N87" s="194">
        <f>'Pseudo-load coefficients'!N277</f>
        <v>0</v>
      </c>
      <c r="O87" s="194">
        <f>'Pseudo-load coefficients'!O277</f>
        <v>0</v>
      </c>
      <c r="P87" s="194">
        <f>'Pseudo-load coefficients'!P277</f>
        <v>0</v>
      </c>
      <c r="Q87" s="194">
        <f>'Pseudo-load coefficients'!Q277</f>
        <v>0</v>
      </c>
      <c r="R87" s="194">
        <f>'Pseudo-load coefficients'!R277</f>
        <v>0</v>
      </c>
      <c r="S87" s="194">
        <f>'Pseudo-load coefficients'!S277</f>
        <v>0</v>
      </c>
      <c r="T87" s="194">
        <f>'Pseudo-load coefficients'!T277</f>
        <v>0</v>
      </c>
      <c r="U87" s="194">
        <f>'Pseudo-load coefficients'!U277</f>
        <v>0</v>
      </c>
      <c r="V87" s="194">
        <f>'Pseudo-load coefficients'!V277</f>
        <v>0</v>
      </c>
      <c r="W87" s="194">
        <f>'Pseudo-load coefficients'!W277</f>
        <v>0</v>
      </c>
      <c r="X87" s="194">
        <f>'Pseudo-load coefficients'!X277</f>
        <v>0</v>
      </c>
      <c r="Y87" s="194">
        <f>'Pseudo-load coefficients'!Y277</f>
        <v>0</v>
      </c>
    </row>
    <row r="88" spans="5:25" x14ac:dyDescent="0.25">
      <c r="E88" s="32"/>
      <c r="F88" s="191" t="s">
        <v>197</v>
      </c>
      <c r="G88" s="28" t="s">
        <v>283</v>
      </c>
      <c r="J88" s="194">
        <f>'Pseudo-load coefficients'!J278</f>
        <v>7.1787890556699754</v>
      </c>
      <c r="K88" s="194">
        <f>'Pseudo-load coefficients'!K278</f>
        <v>7.1787890556699754</v>
      </c>
      <c r="L88" s="194">
        <f>'Pseudo-load coefficients'!L278</f>
        <v>7.4967697236709547</v>
      </c>
      <c r="M88" s="194">
        <f>'Pseudo-load coefficients'!M278</f>
        <v>7.4967697236709547</v>
      </c>
      <c r="N88" s="194">
        <f>'Pseudo-load coefficients'!N278</f>
        <v>6.6882451157429355</v>
      </c>
      <c r="O88" s="194">
        <f>'Pseudo-load coefficients'!O278</f>
        <v>5.6928818028203052</v>
      </c>
      <c r="P88" s="194">
        <f>'Pseudo-load coefficients'!P278</f>
        <v>5.8282351311318461</v>
      </c>
      <c r="Q88" s="194">
        <f>'Pseudo-load coefficients'!Q278</f>
        <v>12.377714572836643</v>
      </c>
      <c r="R88" s="194">
        <f>'Pseudo-load coefficients'!R278</f>
        <v>5.1463601532567056</v>
      </c>
      <c r="S88" s="194">
        <f>'Pseudo-load coefficients'!S278</f>
        <v>5.1463601532567056</v>
      </c>
      <c r="T88" s="194">
        <f>'Pseudo-load coefficients'!T278</f>
        <v>5.1463601532567056</v>
      </c>
      <c r="U88" s="194">
        <f>'Pseudo-load coefficients'!U278</f>
        <v>5.1463601532567056</v>
      </c>
      <c r="V88" s="194">
        <f>'Pseudo-load coefficients'!V278</f>
        <v>5.1463601532567056</v>
      </c>
      <c r="W88" s="194">
        <f>'Pseudo-load coefficients'!W278</f>
        <v>5.1463601532567056</v>
      </c>
      <c r="X88" s="194">
        <f>'Pseudo-load coefficients'!X278</f>
        <v>5.1463601532567056</v>
      </c>
      <c r="Y88" s="194">
        <f>'Pseudo-load coefficients'!Y278</f>
        <v>5.1463601532567056</v>
      </c>
    </row>
    <row r="89" spans="5:25" x14ac:dyDescent="0.25">
      <c r="E89" s="32"/>
      <c r="F89" s="191" t="s">
        <v>198</v>
      </c>
      <c r="G89" s="28" t="s">
        <v>283</v>
      </c>
      <c r="J89" s="194">
        <f>'Pseudo-load coefficients'!J279</f>
        <v>7.1787890556699754</v>
      </c>
      <c r="K89" s="194">
        <f>'Pseudo-load coefficients'!K279</f>
        <v>7.1787890556699754</v>
      </c>
      <c r="L89" s="194">
        <f>'Pseudo-load coefficients'!L279</f>
        <v>7.4967697236709547</v>
      </c>
      <c r="M89" s="194">
        <f>'Pseudo-load coefficients'!M279</f>
        <v>7.4967697236709547</v>
      </c>
      <c r="N89" s="194">
        <f>'Pseudo-load coefficients'!N279</f>
        <v>6.6882451157429355</v>
      </c>
      <c r="O89" s="194">
        <f>'Pseudo-load coefficients'!O279</f>
        <v>5.6928818028203052</v>
      </c>
      <c r="P89" s="194">
        <f>'Pseudo-load coefficients'!P279</f>
        <v>5.8282351311318461</v>
      </c>
      <c r="Q89" s="194">
        <f>'Pseudo-load coefficients'!Q279</f>
        <v>12.377714572836643</v>
      </c>
      <c r="R89" s="194">
        <f>'Pseudo-load coefficients'!R279</f>
        <v>5.1463601532567056</v>
      </c>
      <c r="S89" s="194">
        <f>'Pseudo-load coefficients'!S279</f>
        <v>5.1463601532567056</v>
      </c>
      <c r="T89" s="194">
        <f>'Pseudo-load coefficients'!T279</f>
        <v>5.1463601532567056</v>
      </c>
      <c r="U89" s="194">
        <f>'Pseudo-load coefficients'!U279</f>
        <v>5.1463601532567056</v>
      </c>
      <c r="V89" s="194">
        <f>'Pseudo-load coefficients'!V279</f>
        <v>5.1463601532567056</v>
      </c>
      <c r="W89" s="194">
        <f>'Pseudo-load coefficients'!W279</f>
        <v>5.1463601532567056</v>
      </c>
      <c r="X89" s="194">
        <f>'Pseudo-load coefficients'!X279</f>
        <v>5.1463601532567056</v>
      </c>
      <c r="Y89" s="194">
        <f>'Pseudo-load coefficients'!Y279</f>
        <v>5.1463601532567056</v>
      </c>
    </row>
    <row r="90" spans="5:25" x14ac:dyDescent="0.25">
      <c r="E90" s="32"/>
      <c r="F90" s="192" t="s">
        <v>199</v>
      </c>
      <c r="G90" s="67" t="s">
        <v>283</v>
      </c>
      <c r="H90" s="37"/>
      <c r="I90" s="37"/>
      <c r="J90" s="195">
        <f>'Pseudo-load coefficients'!J280</f>
        <v>7.1787890556699754</v>
      </c>
      <c r="K90" s="195">
        <f>'Pseudo-load coefficients'!K280</f>
        <v>7.1787890556699754</v>
      </c>
      <c r="L90" s="195">
        <f>'Pseudo-load coefficients'!L280</f>
        <v>7.4967697236709547</v>
      </c>
      <c r="M90" s="195">
        <f>'Pseudo-load coefficients'!M280</f>
        <v>7.4967697236709547</v>
      </c>
      <c r="N90" s="195">
        <f>'Pseudo-load coefficients'!N280</f>
        <v>6.6882451157429355</v>
      </c>
      <c r="O90" s="195">
        <f>'Pseudo-load coefficients'!O280</f>
        <v>5.6928818028203052</v>
      </c>
      <c r="P90" s="195">
        <f>'Pseudo-load coefficients'!P280</f>
        <v>5.8282351311318461</v>
      </c>
      <c r="Q90" s="195">
        <f>'Pseudo-load coefficients'!Q280</f>
        <v>12.377714572836643</v>
      </c>
      <c r="R90" s="195">
        <f>'Pseudo-load coefficients'!R280</f>
        <v>5.1463601532567056</v>
      </c>
      <c r="S90" s="195">
        <f>'Pseudo-load coefficients'!S280</f>
        <v>5.1463601532567056</v>
      </c>
      <c r="T90" s="195">
        <f>'Pseudo-load coefficients'!T280</f>
        <v>5.1463601532567056</v>
      </c>
      <c r="U90" s="195">
        <f>'Pseudo-load coefficients'!U280</f>
        <v>5.1463601532567056</v>
      </c>
      <c r="V90" s="195">
        <f>'Pseudo-load coefficients'!V280</f>
        <v>5.1463601532567056</v>
      </c>
      <c r="W90" s="195">
        <f>'Pseudo-load coefficients'!W280</f>
        <v>5.1463601532567056</v>
      </c>
      <c r="X90" s="195">
        <f>'Pseudo-load coefficients'!X280</f>
        <v>5.1463601532567056</v>
      </c>
      <c r="Y90" s="195">
        <f>'Pseudo-load coefficients'!Y280</f>
        <v>5.1463601532567056</v>
      </c>
    </row>
    <row r="91" spans="5:25" x14ac:dyDescent="0.25">
      <c r="E91" s="32"/>
      <c r="J91" s="163"/>
      <c r="K91" s="163"/>
      <c r="L91" s="163"/>
      <c r="M91" s="163"/>
      <c r="N91" s="163"/>
      <c r="O91" s="163"/>
      <c r="P91" s="163"/>
      <c r="Q91" s="163"/>
      <c r="R91" s="163"/>
      <c r="S91" s="163"/>
      <c r="T91" s="163"/>
      <c r="U91" s="163"/>
      <c r="V91" s="163"/>
      <c r="W91" s="163"/>
      <c r="X91" s="163"/>
      <c r="Y91" s="163"/>
    </row>
    <row r="92" spans="5:25" x14ac:dyDescent="0.25">
      <c r="E92" s="32" t="s">
        <v>510</v>
      </c>
      <c r="J92" s="163"/>
      <c r="K92" s="163"/>
      <c r="L92" s="163"/>
      <c r="M92" s="163"/>
      <c r="N92" s="163"/>
      <c r="O92" s="163"/>
      <c r="P92" s="163"/>
      <c r="Q92" s="163"/>
      <c r="R92" s="163"/>
      <c r="S92" s="163"/>
      <c r="T92" s="163"/>
      <c r="U92" s="163"/>
      <c r="V92" s="163"/>
      <c r="W92" s="163"/>
      <c r="X92" s="163"/>
      <c r="Y92" s="163"/>
    </row>
    <row r="93" spans="5:25" x14ac:dyDescent="0.25">
      <c r="E93" s="32"/>
      <c r="F93" s="190" t="s">
        <v>189</v>
      </c>
      <c r="G93" s="64" t="s">
        <v>283</v>
      </c>
      <c r="H93" s="23"/>
      <c r="I93" s="23"/>
      <c r="J93" s="193">
        <f>'Pseudo-load coefficients'!J283</f>
        <v>1.088968582520967</v>
      </c>
      <c r="K93" s="193">
        <f>'Pseudo-load coefficients'!K283</f>
        <v>1.088968582520967</v>
      </c>
      <c r="L93" s="193">
        <f>'Pseudo-load coefficients'!L283</f>
        <v>1.1372038704806549</v>
      </c>
      <c r="M93" s="193">
        <f>'Pseudo-load coefficients'!M283</f>
        <v>1.1372038704806549</v>
      </c>
      <c r="N93" s="193">
        <f>'Pseudo-load coefficients'!N283</f>
        <v>1.0145567374612927</v>
      </c>
      <c r="O93" s="193">
        <f>'Pseudo-load coefficients'!O283</f>
        <v>0.86356757096522108</v>
      </c>
      <c r="P93" s="193">
        <f>'Pseudo-load coefficients'!P283</f>
        <v>0.88409965805231805</v>
      </c>
      <c r="Q93" s="193">
        <f>'Pseudo-load coefficients'!Q283</f>
        <v>0.98419171949664397</v>
      </c>
      <c r="R93" s="193">
        <f>'Pseudo-load coefficients'!R283</f>
        <v>0.78066432622198212</v>
      </c>
      <c r="S93" s="193">
        <f>'Pseudo-load coefficients'!S283</f>
        <v>0.78066432622198212</v>
      </c>
      <c r="T93" s="193">
        <f>'Pseudo-load coefficients'!T283</f>
        <v>0.78066432622198212</v>
      </c>
      <c r="U93" s="193">
        <f>'Pseudo-load coefficients'!U283</f>
        <v>0.78066432622198212</v>
      </c>
      <c r="V93" s="193">
        <f>'Pseudo-load coefficients'!V283</f>
        <v>0.78066432622198212</v>
      </c>
      <c r="W93" s="193">
        <f>'Pseudo-load coefficients'!W283</f>
        <v>0.78066432622198212</v>
      </c>
      <c r="X93" s="193">
        <f>'Pseudo-load coefficients'!X283</f>
        <v>0.78066432622198212</v>
      </c>
      <c r="Y93" s="193">
        <f>'Pseudo-load coefficients'!Y283</f>
        <v>0.78066432622198212</v>
      </c>
    </row>
    <row r="94" spans="5:25" x14ac:dyDescent="0.25">
      <c r="E94" s="32"/>
      <c r="F94" s="191" t="s">
        <v>191</v>
      </c>
      <c r="G94" s="28" t="s">
        <v>283</v>
      </c>
      <c r="J94" s="194">
        <f>'Pseudo-load coefficients'!J283</f>
        <v>1.088968582520967</v>
      </c>
      <c r="K94" s="194">
        <f>'Pseudo-load coefficients'!K283</f>
        <v>1.088968582520967</v>
      </c>
      <c r="L94" s="194">
        <f>'Pseudo-load coefficients'!L283</f>
        <v>1.1372038704806549</v>
      </c>
      <c r="M94" s="194">
        <f>'Pseudo-load coefficients'!M283</f>
        <v>1.1372038704806549</v>
      </c>
      <c r="N94" s="194">
        <f>'Pseudo-load coefficients'!N283</f>
        <v>1.0145567374612927</v>
      </c>
      <c r="O94" s="194">
        <f>'Pseudo-load coefficients'!O283</f>
        <v>0.86356757096522108</v>
      </c>
      <c r="P94" s="194">
        <f>'Pseudo-load coefficients'!P283</f>
        <v>0.88409965805231805</v>
      </c>
      <c r="Q94" s="194">
        <f>'Pseudo-load coefficients'!Q283</f>
        <v>0.98419171949664397</v>
      </c>
      <c r="R94" s="194">
        <f>'Pseudo-load coefficients'!R283</f>
        <v>0.78066432622198212</v>
      </c>
      <c r="S94" s="194">
        <f>'Pseudo-load coefficients'!S283</f>
        <v>0.78066432622198212</v>
      </c>
      <c r="T94" s="194">
        <f>'Pseudo-load coefficients'!T283</f>
        <v>0.78066432622198212</v>
      </c>
      <c r="U94" s="194">
        <f>'Pseudo-load coefficients'!U283</f>
        <v>0.78066432622198212</v>
      </c>
      <c r="V94" s="194">
        <f>'Pseudo-load coefficients'!V283</f>
        <v>0.78066432622198212</v>
      </c>
      <c r="W94" s="194">
        <f>'Pseudo-load coefficients'!W283</f>
        <v>0.78066432622198212</v>
      </c>
      <c r="X94" s="194">
        <f>'Pseudo-load coefficients'!X283</f>
        <v>0.78066432622198212</v>
      </c>
      <c r="Y94" s="194">
        <f>'Pseudo-load coefficients'!Y283</f>
        <v>0.78066432622198212</v>
      </c>
    </row>
    <row r="95" spans="5:25" x14ac:dyDescent="0.25">
      <c r="E95" s="32"/>
      <c r="F95" s="191" t="s">
        <v>192</v>
      </c>
      <c r="G95" s="28" t="s">
        <v>283</v>
      </c>
      <c r="J95" s="194">
        <f>'Pseudo-load coefficients'!J284</f>
        <v>0</v>
      </c>
      <c r="K95" s="194">
        <f>'Pseudo-load coefficients'!K284</f>
        <v>0</v>
      </c>
      <c r="L95" s="194">
        <f>'Pseudo-load coefficients'!L284</f>
        <v>0</v>
      </c>
      <c r="M95" s="194">
        <f>'Pseudo-load coefficients'!M284</f>
        <v>0</v>
      </c>
      <c r="N95" s="194">
        <f>'Pseudo-load coefficients'!N284</f>
        <v>0</v>
      </c>
      <c r="O95" s="194">
        <f>'Pseudo-load coefficients'!O284</f>
        <v>0</v>
      </c>
      <c r="P95" s="194">
        <f>'Pseudo-load coefficients'!P284</f>
        <v>0</v>
      </c>
      <c r="Q95" s="194">
        <f>'Pseudo-load coefficients'!Q284</f>
        <v>0</v>
      </c>
      <c r="R95" s="194">
        <f>'Pseudo-load coefficients'!R284</f>
        <v>0</v>
      </c>
      <c r="S95" s="194">
        <f>'Pseudo-load coefficients'!S284</f>
        <v>0</v>
      </c>
      <c r="T95" s="194">
        <f>'Pseudo-load coefficients'!T284</f>
        <v>0</v>
      </c>
      <c r="U95" s="194">
        <f>'Pseudo-load coefficients'!U284</f>
        <v>0</v>
      </c>
      <c r="V95" s="194">
        <f>'Pseudo-load coefficients'!V284</f>
        <v>0</v>
      </c>
      <c r="W95" s="194">
        <f>'Pseudo-load coefficients'!W284</f>
        <v>0</v>
      </c>
      <c r="X95" s="194">
        <f>'Pseudo-load coefficients'!X284</f>
        <v>0</v>
      </c>
      <c r="Y95" s="194">
        <f>'Pseudo-load coefficients'!Y284</f>
        <v>0</v>
      </c>
    </row>
    <row r="96" spans="5:25" x14ac:dyDescent="0.25">
      <c r="E96" s="32"/>
      <c r="F96" s="191" t="s">
        <v>193</v>
      </c>
      <c r="G96" s="28" t="s">
        <v>283</v>
      </c>
      <c r="J96" s="194">
        <f>'Pseudo-load coefficients'!J285</f>
        <v>0</v>
      </c>
      <c r="K96" s="194">
        <f>'Pseudo-load coefficients'!K285</f>
        <v>0</v>
      </c>
      <c r="L96" s="194">
        <f>'Pseudo-load coefficients'!L285</f>
        <v>0</v>
      </c>
      <c r="M96" s="194">
        <f>'Pseudo-load coefficients'!M285</f>
        <v>0</v>
      </c>
      <c r="N96" s="194">
        <f>'Pseudo-load coefficients'!N285</f>
        <v>0</v>
      </c>
      <c r="O96" s="194">
        <f>'Pseudo-load coefficients'!O285</f>
        <v>0</v>
      </c>
      <c r="P96" s="194">
        <f>'Pseudo-load coefficients'!P285</f>
        <v>0</v>
      </c>
      <c r="Q96" s="194">
        <f>'Pseudo-load coefficients'!Q285</f>
        <v>0</v>
      </c>
      <c r="R96" s="194">
        <f>'Pseudo-load coefficients'!R285</f>
        <v>0</v>
      </c>
      <c r="S96" s="194">
        <f>'Pseudo-load coefficients'!S285</f>
        <v>0</v>
      </c>
      <c r="T96" s="194">
        <f>'Pseudo-load coefficients'!T285</f>
        <v>0</v>
      </c>
      <c r="U96" s="194">
        <f>'Pseudo-load coefficients'!U285</f>
        <v>0</v>
      </c>
      <c r="V96" s="194">
        <f>'Pseudo-load coefficients'!V285</f>
        <v>0</v>
      </c>
      <c r="W96" s="194">
        <f>'Pseudo-load coefficients'!W285</f>
        <v>0</v>
      </c>
      <c r="X96" s="194">
        <f>'Pseudo-load coefficients'!X285</f>
        <v>0</v>
      </c>
      <c r="Y96" s="194">
        <f>'Pseudo-load coefficients'!Y285</f>
        <v>0</v>
      </c>
    </row>
    <row r="97" spans="3:25" x14ac:dyDescent="0.25">
      <c r="E97" s="32"/>
      <c r="F97" s="191" t="s">
        <v>194</v>
      </c>
      <c r="G97" s="28" t="s">
        <v>283</v>
      </c>
      <c r="J97" s="194">
        <f>'Pseudo-load coefficients'!J286</f>
        <v>1.1549666784313286</v>
      </c>
      <c r="K97" s="194">
        <f>'Pseudo-load coefficients'!K286</f>
        <v>1.1549666784313286</v>
      </c>
      <c r="L97" s="194">
        <f>'Pseudo-load coefficients'!L286</f>
        <v>1.2061253171764519</v>
      </c>
      <c r="M97" s="194">
        <f>'Pseudo-load coefficients'!M286</f>
        <v>1.2061253171764519</v>
      </c>
      <c r="N97" s="194">
        <f>'Pseudo-load coefficients'!N286</f>
        <v>1.0760450245801589</v>
      </c>
      <c r="O97" s="194">
        <f>'Pseudo-load coefficients'!O286</f>
        <v>0.91590499950856774</v>
      </c>
      <c r="P97" s="194">
        <f>'Pseudo-load coefficients'!P286</f>
        <v>0.93768145551003423</v>
      </c>
      <c r="Q97" s="194">
        <f>'Pseudo-load coefficients'!Q286</f>
        <v>1.0986326171125327</v>
      </c>
      <c r="R97" s="194">
        <f>'Pseudo-load coefficients'!R286</f>
        <v>0.82797731568998101</v>
      </c>
      <c r="S97" s="194">
        <f>'Pseudo-load coefficients'!S286</f>
        <v>0.82797731568998101</v>
      </c>
      <c r="T97" s="194">
        <f>'Pseudo-load coefficients'!T286</f>
        <v>0.82797731568998101</v>
      </c>
      <c r="U97" s="194">
        <f>'Pseudo-load coefficients'!U286</f>
        <v>0.82797731568998101</v>
      </c>
      <c r="V97" s="194">
        <f>'Pseudo-load coefficients'!V286</f>
        <v>0.82797731568998101</v>
      </c>
      <c r="W97" s="194">
        <f>'Pseudo-load coefficients'!W286</f>
        <v>0.82797731568998101</v>
      </c>
      <c r="X97" s="194">
        <f>'Pseudo-load coefficients'!X286</f>
        <v>0.82797731568998101</v>
      </c>
      <c r="Y97" s="194">
        <f>'Pseudo-load coefficients'!Y286</f>
        <v>0.82797731568998101</v>
      </c>
    </row>
    <row r="98" spans="3:25" x14ac:dyDescent="0.25">
      <c r="E98" s="32"/>
      <c r="F98" s="191" t="s">
        <v>195</v>
      </c>
      <c r="G98" s="28" t="s">
        <v>283</v>
      </c>
      <c r="J98" s="194">
        <f>'Pseudo-load coefficients'!J287</f>
        <v>1.1549666784313286</v>
      </c>
      <c r="K98" s="194">
        <f>'Pseudo-load coefficients'!K287</f>
        <v>1.1549666784313286</v>
      </c>
      <c r="L98" s="194">
        <f>'Pseudo-load coefficients'!L287</f>
        <v>1.2061253171764519</v>
      </c>
      <c r="M98" s="194">
        <f>'Pseudo-load coefficients'!M287</f>
        <v>1.2061253171764519</v>
      </c>
      <c r="N98" s="194">
        <f>'Pseudo-load coefficients'!N287</f>
        <v>1.0760450245801589</v>
      </c>
      <c r="O98" s="194">
        <f>'Pseudo-load coefficients'!O287</f>
        <v>0.91590499950856774</v>
      </c>
      <c r="P98" s="194">
        <f>'Pseudo-load coefficients'!P287</f>
        <v>0.93768145551003423</v>
      </c>
      <c r="Q98" s="194">
        <f>'Pseudo-load coefficients'!Q287</f>
        <v>1.0986326171125327</v>
      </c>
      <c r="R98" s="194">
        <f>'Pseudo-load coefficients'!R287</f>
        <v>0.82797731568998101</v>
      </c>
      <c r="S98" s="194">
        <f>'Pseudo-load coefficients'!S287</f>
        <v>0.82797731568998101</v>
      </c>
      <c r="T98" s="194">
        <f>'Pseudo-load coefficients'!T287</f>
        <v>0.82797731568998101</v>
      </c>
      <c r="U98" s="194">
        <f>'Pseudo-load coefficients'!U287</f>
        <v>0.82797731568998101</v>
      </c>
      <c r="V98" s="194">
        <f>'Pseudo-load coefficients'!V287</f>
        <v>0.82797731568998101</v>
      </c>
      <c r="W98" s="194">
        <f>'Pseudo-load coefficients'!W287</f>
        <v>0.82797731568998101</v>
      </c>
      <c r="X98" s="194">
        <f>'Pseudo-load coefficients'!X287</f>
        <v>0.82797731568998101</v>
      </c>
      <c r="Y98" s="194">
        <f>'Pseudo-load coefficients'!Y287</f>
        <v>0.82797731568998101</v>
      </c>
    </row>
    <row r="99" spans="3:25" x14ac:dyDescent="0.25">
      <c r="E99" s="32"/>
      <c r="F99" s="191" t="s">
        <v>196</v>
      </c>
      <c r="G99" s="28" t="s">
        <v>283</v>
      </c>
      <c r="J99" s="194">
        <f>'Pseudo-load coefficients'!J288</f>
        <v>0</v>
      </c>
      <c r="K99" s="194">
        <f>'Pseudo-load coefficients'!K288</f>
        <v>0</v>
      </c>
      <c r="L99" s="194">
        <f>'Pseudo-load coefficients'!L288</f>
        <v>0</v>
      </c>
      <c r="M99" s="194">
        <f>'Pseudo-load coefficients'!M288</f>
        <v>0</v>
      </c>
      <c r="N99" s="194">
        <f>'Pseudo-load coefficients'!N288</f>
        <v>0</v>
      </c>
      <c r="O99" s="194">
        <f>'Pseudo-load coefficients'!O288</f>
        <v>0</v>
      </c>
      <c r="P99" s="194">
        <f>'Pseudo-load coefficients'!P288</f>
        <v>0</v>
      </c>
      <c r="Q99" s="194">
        <f>'Pseudo-load coefficients'!Q288</f>
        <v>0</v>
      </c>
      <c r="R99" s="194">
        <f>'Pseudo-load coefficients'!R288</f>
        <v>0</v>
      </c>
      <c r="S99" s="194">
        <f>'Pseudo-load coefficients'!S288</f>
        <v>0</v>
      </c>
      <c r="T99" s="194">
        <f>'Pseudo-load coefficients'!T288</f>
        <v>0</v>
      </c>
      <c r="U99" s="194">
        <f>'Pseudo-load coefficients'!U288</f>
        <v>0</v>
      </c>
      <c r="V99" s="194">
        <f>'Pseudo-load coefficients'!V288</f>
        <v>0</v>
      </c>
      <c r="W99" s="194">
        <f>'Pseudo-load coefficients'!W288</f>
        <v>0</v>
      </c>
      <c r="X99" s="194">
        <f>'Pseudo-load coefficients'!X288</f>
        <v>0</v>
      </c>
      <c r="Y99" s="194">
        <f>'Pseudo-load coefficients'!Y288</f>
        <v>0</v>
      </c>
    </row>
    <row r="100" spans="3:25" x14ac:dyDescent="0.25">
      <c r="E100" s="32"/>
      <c r="F100" s="191" t="s">
        <v>197</v>
      </c>
      <c r="G100" s="28" t="s">
        <v>283</v>
      </c>
      <c r="J100" s="194">
        <f>'Pseudo-load coefficients'!J289</f>
        <v>1.1549666784313286</v>
      </c>
      <c r="K100" s="194">
        <f>'Pseudo-load coefficients'!K289</f>
        <v>1.1549666784313286</v>
      </c>
      <c r="L100" s="194">
        <f>'Pseudo-load coefficients'!L289</f>
        <v>1.2061253171764519</v>
      </c>
      <c r="M100" s="194">
        <f>'Pseudo-load coefficients'!M289</f>
        <v>1.2061253171764519</v>
      </c>
      <c r="N100" s="194">
        <f>'Pseudo-load coefficients'!N289</f>
        <v>1.0760450245801589</v>
      </c>
      <c r="O100" s="194">
        <f>'Pseudo-load coefficients'!O289</f>
        <v>0.91590499950856774</v>
      </c>
      <c r="P100" s="194">
        <f>'Pseudo-load coefficients'!P289</f>
        <v>0.93768145551003423</v>
      </c>
      <c r="Q100" s="194">
        <f>'Pseudo-load coefficients'!Q289</f>
        <v>1.0986326171125327</v>
      </c>
      <c r="R100" s="194">
        <f>'Pseudo-load coefficients'!R289</f>
        <v>0.82797731568998101</v>
      </c>
      <c r="S100" s="194">
        <f>'Pseudo-load coefficients'!S289</f>
        <v>0.82797731568998101</v>
      </c>
      <c r="T100" s="194">
        <f>'Pseudo-load coefficients'!T289</f>
        <v>0.82797731568998101</v>
      </c>
      <c r="U100" s="194">
        <f>'Pseudo-load coefficients'!U289</f>
        <v>0.82797731568998101</v>
      </c>
      <c r="V100" s="194">
        <f>'Pseudo-load coefficients'!V289</f>
        <v>0.82797731568998101</v>
      </c>
      <c r="W100" s="194">
        <f>'Pseudo-load coefficients'!W289</f>
        <v>0.82797731568998101</v>
      </c>
      <c r="X100" s="194">
        <f>'Pseudo-load coefficients'!X289</f>
        <v>0.82797731568998101</v>
      </c>
      <c r="Y100" s="194">
        <f>'Pseudo-load coefficients'!Y289</f>
        <v>0.82797731568998101</v>
      </c>
    </row>
    <row r="101" spans="3:25" x14ac:dyDescent="0.25">
      <c r="E101" s="32"/>
      <c r="F101" s="191" t="s">
        <v>198</v>
      </c>
      <c r="G101" s="28" t="s">
        <v>283</v>
      </c>
      <c r="J101" s="194">
        <f>'Pseudo-load coefficients'!J290</f>
        <v>1.1549666784313286</v>
      </c>
      <c r="K101" s="194">
        <f>'Pseudo-load coefficients'!K290</f>
        <v>1.1549666784313286</v>
      </c>
      <c r="L101" s="194">
        <f>'Pseudo-load coefficients'!L290</f>
        <v>1.2061253171764519</v>
      </c>
      <c r="M101" s="194">
        <f>'Pseudo-load coefficients'!M290</f>
        <v>1.2061253171764519</v>
      </c>
      <c r="N101" s="194">
        <f>'Pseudo-load coefficients'!N290</f>
        <v>1.0760450245801589</v>
      </c>
      <c r="O101" s="194">
        <f>'Pseudo-load coefficients'!O290</f>
        <v>0.91590499950856774</v>
      </c>
      <c r="P101" s="194">
        <f>'Pseudo-load coefficients'!P290</f>
        <v>0.93768145551003423</v>
      </c>
      <c r="Q101" s="194">
        <f>'Pseudo-load coefficients'!Q290</f>
        <v>1.0986326171125327</v>
      </c>
      <c r="R101" s="194">
        <f>'Pseudo-load coefficients'!R290</f>
        <v>0.82797731568998101</v>
      </c>
      <c r="S101" s="194">
        <f>'Pseudo-load coefficients'!S290</f>
        <v>0.82797731568998101</v>
      </c>
      <c r="T101" s="194">
        <f>'Pseudo-load coefficients'!T290</f>
        <v>0.82797731568998101</v>
      </c>
      <c r="U101" s="194">
        <f>'Pseudo-load coefficients'!U290</f>
        <v>0.82797731568998101</v>
      </c>
      <c r="V101" s="194">
        <f>'Pseudo-load coefficients'!V290</f>
        <v>0.82797731568998101</v>
      </c>
      <c r="W101" s="194">
        <f>'Pseudo-load coefficients'!W290</f>
        <v>0.82797731568998101</v>
      </c>
      <c r="X101" s="194">
        <f>'Pseudo-load coefficients'!X290</f>
        <v>0.82797731568998101</v>
      </c>
      <c r="Y101" s="194">
        <f>'Pseudo-load coefficients'!Y290</f>
        <v>0.82797731568998101</v>
      </c>
    </row>
    <row r="102" spans="3:25" x14ac:dyDescent="0.25">
      <c r="E102" s="32"/>
      <c r="F102" s="192" t="s">
        <v>199</v>
      </c>
      <c r="G102" s="67" t="s">
        <v>283</v>
      </c>
      <c r="H102" s="37"/>
      <c r="I102" s="37"/>
      <c r="J102" s="195">
        <f>'Pseudo-load coefficients'!J291</f>
        <v>1.1549666784313286</v>
      </c>
      <c r="K102" s="195">
        <f>'Pseudo-load coefficients'!K291</f>
        <v>1.1549666784313286</v>
      </c>
      <c r="L102" s="195">
        <f>'Pseudo-load coefficients'!L291</f>
        <v>1.2061253171764519</v>
      </c>
      <c r="M102" s="195">
        <f>'Pseudo-load coefficients'!M291</f>
        <v>1.2061253171764519</v>
      </c>
      <c r="N102" s="195">
        <f>'Pseudo-load coefficients'!N291</f>
        <v>1.0760450245801589</v>
      </c>
      <c r="O102" s="195">
        <f>'Pseudo-load coefficients'!O291</f>
        <v>0.91590499950856774</v>
      </c>
      <c r="P102" s="195">
        <f>'Pseudo-load coefficients'!P291</f>
        <v>0.93768145551003423</v>
      </c>
      <c r="Q102" s="195">
        <f>'Pseudo-load coefficients'!Q291</f>
        <v>1.0986326171125327</v>
      </c>
      <c r="R102" s="195">
        <f>'Pseudo-load coefficients'!R291</f>
        <v>0.82797731568998101</v>
      </c>
      <c r="S102" s="195">
        <f>'Pseudo-load coefficients'!S291</f>
        <v>0.82797731568998101</v>
      </c>
      <c r="T102" s="195">
        <f>'Pseudo-load coefficients'!T291</f>
        <v>0.82797731568998101</v>
      </c>
      <c r="U102" s="195">
        <f>'Pseudo-load coefficients'!U291</f>
        <v>0.82797731568998101</v>
      </c>
      <c r="V102" s="195">
        <f>'Pseudo-load coefficients'!V291</f>
        <v>0.82797731568998101</v>
      </c>
      <c r="W102" s="195">
        <f>'Pseudo-load coefficients'!W291</f>
        <v>0.82797731568998101</v>
      </c>
      <c r="X102" s="195">
        <f>'Pseudo-load coefficients'!X291</f>
        <v>0.82797731568998101</v>
      </c>
      <c r="Y102" s="195">
        <f>'Pseudo-load coefficients'!Y291</f>
        <v>0.82797731568998101</v>
      </c>
    </row>
    <row r="103" spans="3:25" x14ac:dyDescent="0.25">
      <c r="E103" s="32"/>
      <c r="J103" s="163"/>
      <c r="K103" s="163"/>
      <c r="L103" s="163"/>
      <c r="M103" s="163"/>
      <c r="N103" s="163"/>
      <c r="O103" s="163"/>
      <c r="P103" s="163"/>
      <c r="Q103" s="163"/>
      <c r="R103" s="163"/>
      <c r="S103" s="163"/>
      <c r="T103" s="163"/>
      <c r="U103" s="163"/>
      <c r="V103" s="163"/>
      <c r="W103" s="163"/>
      <c r="X103" s="163"/>
      <c r="Y103" s="163"/>
    </row>
    <row r="104" spans="3:25" x14ac:dyDescent="0.25">
      <c r="E104" s="32" t="s">
        <v>513</v>
      </c>
      <c r="J104" s="163"/>
      <c r="K104" s="163"/>
      <c r="L104" s="163"/>
      <c r="M104" s="163"/>
      <c r="N104" s="163"/>
      <c r="O104" s="163"/>
      <c r="P104" s="163"/>
      <c r="Q104" s="163"/>
      <c r="R104" s="163"/>
      <c r="S104" s="163"/>
      <c r="T104" s="163"/>
      <c r="U104" s="163"/>
      <c r="V104" s="163"/>
      <c r="W104" s="163"/>
      <c r="X104" s="163"/>
      <c r="Y104" s="163"/>
    </row>
    <row r="105" spans="3:25" x14ac:dyDescent="0.25">
      <c r="C105" s="32"/>
      <c r="E105" s="32"/>
      <c r="F105" s="190" t="s">
        <v>189</v>
      </c>
      <c r="G105" s="64" t="s">
        <v>283</v>
      </c>
      <c r="H105" s="23"/>
      <c r="I105" s="23"/>
      <c r="J105" s="193">
        <f>'Pseudo-load coefficients'!J294</f>
        <v>0.45744679299217433</v>
      </c>
      <c r="K105" s="193">
        <f>'Pseudo-load coefficients'!K294</f>
        <v>0.45744679299217433</v>
      </c>
      <c r="L105" s="193">
        <f>'Pseudo-load coefficients'!L294</f>
        <v>0.47770915697620447</v>
      </c>
      <c r="M105" s="193">
        <f>'Pseudo-load coefficients'!M294</f>
        <v>0.47770915697620447</v>
      </c>
      <c r="N105" s="193">
        <f>'Pseudo-load coefficients'!N294</f>
        <v>0.42618835227171104</v>
      </c>
      <c r="O105" s="193">
        <f>'Pseudo-load coefficients'!O294</f>
        <v>0.3627618116911801</v>
      </c>
      <c r="P105" s="193">
        <f>'Pseudo-load coefficients'!P294</f>
        <v>0.37138679641726391</v>
      </c>
      <c r="Q105" s="193">
        <f>'Pseudo-load coefficients'!Q294</f>
        <v>0.3622694357472927</v>
      </c>
      <c r="R105" s="193">
        <f>'Pseudo-load coefficients'!R294</f>
        <v>0.32793635938231164</v>
      </c>
      <c r="S105" s="193">
        <f>'Pseudo-load coefficients'!S294</f>
        <v>0.32793635938231164</v>
      </c>
      <c r="T105" s="193">
        <f>'Pseudo-load coefficients'!T294</f>
        <v>0.32793635938231164</v>
      </c>
      <c r="U105" s="193">
        <f>'Pseudo-load coefficients'!U294</f>
        <v>0.32793635938231164</v>
      </c>
      <c r="V105" s="193">
        <f>'Pseudo-load coefficients'!V294</f>
        <v>0.32793635938231164</v>
      </c>
      <c r="W105" s="193">
        <f>'Pseudo-load coefficients'!W294</f>
        <v>0.32793635938231164</v>
      </c>
      <c r="X105" s="193">
        <f>'Pseudo-load coefficients'!X294</f>
        <v>0.32793635938231164</v>
      </c>
      <c r="Y105" s="193">
        <f>'Pseudo-load coefficients'!Y294</f>
        <v>0.32793635938231164</v>
      </c>
    </row>
    <row r="106" spans="3:25" x14ac:dyDescent="0.25">
      <c r="C106" s="32"/>
      <c r="E106" s="32"/>
      <c r="F106" s="191" t="s">
        <v>191</v>
      </c>
      <c r="G106" s="28" t="s">
        <v>283</v>
      </c>
      <c r="J106" s="194">
        <f>'Pseudo-load coefficients'!J294</f>
        <v>0.45744679299217433</v>
      </c>
      <c r="K106" s="194">
        <f>'Pseudo-load coefficients'!K294</f>
        <v>0.45744679299217433</v>
      </c>
      <c r="L106" s="194">
        <f>'Pseudo-load coefficients'!L294</f>
        <v>0.47770915697620447</v>
      </c>
      <c r="M106" s="194">
        <f>'Pseudo-load coefficients'!M294</f>
        <v>0.47770915697620447</v>
      </c>
      <c r="N106" s="194">
        <f>'Pseudo-load coefficients'!N294</f>
        <v>0.42618835227171104</v>
      </c>
      <c r="O106" s="194">
        <f>'Pseudo-load coefficients'!O294</f>
        <v>0.3627618116911801</v>
      </c>
      <c r="P106" s="194">
        <f>'Pseudo-load coefficients'!P294</f>
        <v>0.37138679641726391</v>
      </c>
      <c r="Q106" s="194">
        <f>'Pseudo-load coefficients'!Q294</f>
        <v>0.3622694357472927</v>
      </c>
      <c r="R106" s="194">
        <f>'Pseudo-load coefficients'!R294</f>
        <v>0.32793635938231164</v>
      </c>
      <c r="S106" s="194">
        <f>'Pseudo-load coefficients'!S294</f>
        <v>0.32793635938231164</v>
      </c>
      <c r="T106" s="194">
        <f>'Pseudo-load coefficients'!T294</f>
        <v>0.32793635938231164</v>
      </c>
      <c r="U106" s="194">
        <f>'Pseudo-load coefficients'!U294</f>
        <v>0.32793635938231164</v>
      </c>
      <c r="V106" s="194">
        <f>'Pseudo-load coefficients'!V294</f>
        <v>0.32793635938231164</v>
      </c>
      <c r="W106" s="194">
        <f>'Pseudo-load coefficients'!W294</f>
        <v>0.32793635938231164</v>
      </c>
      <c r="X106" s="194">
        <f>'Pseudo-load coefficients'!X294</f>
        <v>0.32793635938231164</v>
      </c>
      <c r="Y106" s="194">
        <f>'Pseudo-load coefficients'!Y294</f>
        <v>0.32793635938231164</v>
      </c>
    </row>
    <row r="107" spans="3:25" x14ac:dyDescent="0.25">
      <c r="C107" s="32"/>
      <c r="E107" s="32"/>
      <c r="F107" s="191" t="s">
        <v>192</v>
      </c>
      <c r="G107" s="28" t="s">
        <v>283</v>
      </c>
      <c r="J107" s="194">
        <f>'Pseudo-load coefficients'!J295</f>
        <v>0</v>
      </c>
      <c r="K107" s="194">
        <f>'Pseudo-load coefficients'!K295</f>
        <v>0</v>
      </c>
      <c r="L107" s="194">
        <f>'Pseudo-load coefficients'!L295</f>
        <v>0</v>
      </c>
      <c r="M107" s="194">
        <f>'Pseudo-load coefficients'!M295</f>
        <v>0</v>
      </c>
      <c r="N107" s="194">
        <f>'Pseudo-load coefficients'!N295</f>
        <v>0</v>
      </c>
      <c r="O107" s="194">
        <f>'Pseudo-load coefficients'!O295</f>
        <v>0</v>
      </c>
      <c r="P107" s="194">
        <f>'Pseudo-load coefficients'!P295</f>
        <v>0</v>
      </c>
      <c r="Q107" s="194">
        <f>'Pseudo-load coefficients'!Q295</f>
        <v>0</v>
      </c>
      <c r="R107" s="194">
        <f>'Pseudo-load coefficients'!R295</f>
        <v>0</v>
      </c>
      <c r="S107" s="194">
        <f>'Pseudo-load coefficients'!S295</f>
        <v>0</v>
      </c>
      <c r="T107" s="194">
        <f>'Pseudo-load coefficients'!T295</f>
        <v>0</v>
      </c>
      <c r="U107" s="194">
        <f>'Pseudo-load coefficients'!U295</f>
        <v>0</v>
      </c>
      <c r="V107" s="194">
        <f>'Pseudo-load coefficients'!V295</f>
        <v>0</v>
      </c>
      <c r="W107" s="194">
        <f>'Pseudo-load coefficients'!W295</f>
        <v>0</v>
      </c>
      <c r="X107" s="194">
        <f>'Pseudo-load coefficients'!X295</f>
        <v>0</v>
      </c>
      <c r="Y107" s="194">
        <f>'Pseudo-load coefficients'!Y295</f>
        <v>0</v>
      </c>
    </row>
    <row r="108" spans="3:25" x14ac:dyDescent="0.25">
      <c r="C108" s="32"/>
      <c r="E108" s="32"/>
      <c r="F108" s="191" t="s">
        <v>193</v>
      </c>
      <c r="G108" s="28" t="s">
        <v>283</v>
      </c>
      <c r="J108" s="194">
        <f>'Pseudo-load coefficients'!J296</f>
        <v>0</v>
      </c>
      <c r="K108" s="194">
        <f>'Pseudo-load coefficients'!K296</f>
        <v>0</v>
      </c>
      <c r="L108" s="194">
        <f>'Pseudo-load coefficients'!L296</f>
        <v>0</v>
      </c>
      <c r="M108" s="194">
        <f>'Pseudo-load coefficients'!M296</f>
        <v>0</v>
      </c>
      <c r="N108" s="194">
        <f>'Pseudo-load coefficients'!N296</f>
        <v>0</v>
      </c>
      <c r="O108" s="194">
        <f>'Pseudo-load coefficients'!O296</f>
        <v>0</v>
      </c>
      <c r="P108" s="194">
        <f>'Pseudo-load coefficients'!P296</f>
        <v>0</v>
      </c>
      <c r="Q108" s="194">
        <f>'Pseudo-load coefficients'!Q296</f>
        <v>0</v>
      </c>
      <c r="R108" s="194">
        <f>'Pseudo-load coefficients'!R296</f>
        <v>0</v>
      </c>
      <c r="S108" s="194">
        <f>'Pseudo-load coefficients'!S296</f>
        <v>0</v>
      </c>
      <c r="T108" s="194">
        <f>'Pseudo-load coefficients'!T296</f>
        <v>0</v>
      </c>
      <c r="U108" s="194">
        <f>'Pseudo-load coefficients'!U296</f>
        <v>0</v>
      </c>
      <c r="V108" s="194">
        <f>'Pseudo-load coefficients'!V296</f>
        <v>0</v>
      </c>
      <c r="W108" s="194">
        <f>'Pseudo-load coefficients'!W296</f>
        <v>0</v>
      </c>
      <c r="X108" s="194">
        <f>'Pseudo-load coefficients'!X296</f>
        <v>0</v>
      </c>
      <c r="Y108" s="194">
        <f>'Pseudo-load coefficients'!Y296</f>
        <v>0</v>
      </c>
    </row>
    <row r="109" spans="3:25" x14ac:dyDescent="0.25">
      <c r="C109" s="32"/>
      <c r="E109" s="32"/>
      <c r="F109" s="191" t="s">
        <v>194</v>
      </c>
      <c r="G109" s="28" t="s">
        <v>283</v>
      </c>
      <c r="J109" s="194">
        <f>'Pseudo-load coefficients'!J297</f>
        <v>0.54321806667820716</v>
      </c>
      <c r="K109" s="194">
        <f>'Pseudo-load coefficients'!K297</f>
        <v>0.54321806667820716</v>
      </c>
      <c r="L109" s="194">
        <f>'Pseudo-load coefficients'!L297</f>
        <v>0.56727962390924291</v>
      </c>
      <c r="M109" s="194">
        <f>'Pseudo-load coefficients'!M297</f>
        <v>0.56727962390924291</v>
      </c>
      <c r="N109" s="194">
        <f>'Pseudo-load coefficients'!N297</f>
        <v>0.50609866832265693</v>
      </c>
      <c r="O109" s="194">
        <f>'Pseudo-load coefficients'!O297</f>
        <v>0.4307796513832764</v>
      </c>
      <c r="P109" s="194">
        <f>'Pseudo-load coefficients'!P297</f>
        <v>0.441021820745501</v>
      </c>
      <c r="Q109" s="194">
        <f>'Pseudo-load coefficients'!Q297</f>
        <v>0.43019495494991017</v>
      </c>
      <c r="R109" s="194">
        <f>'Pseudo-load coefficients'!R297</f>
        <v>0.38942442676649514</v>
      </c>
      <c r="S109" s="194">
        <f>'Pseudo-load coefficients'!S297</f>
        <v>0.38942442676649514</v>
      </c>
      <c r="T109" s="194">
        <f>'Pseudo-load coefficients'!T297</f>
        <v>0.38942442676649514</v>
      </c>
      <c r="U109" s="194">
        <f>'Pseudo-load coefficients'!U297</f>
        <v>0.38942442676649514</v>
      </c>
      <c r="V109" s="194">
        <f>'Pseudo-load coefficients'!V297</f>
        <v>0.38942442676649514</v>
      </c>
      <c r="W109" s="194">
        <f>'Pseudo-load coefficients'!W297</f>
        <v>0.38942442676649514</v>
      </c>
      <c r="X109" s="194">
        <f>'Pseudo-load coefficients'!X297</f>
        <v>0.38942442676649514</v>
      </c>
      <c r="Y109" s="194">
        <f>'Pseudo-load coefficients'!Y297</f>
        <v>0.38942442676649514</v>
      </c>
    </row>
    <row r="110" spans="3:25" x14ac:dyDescent="0.25">
      <c r="C110" s="32"/>
      <c r="E110" s="32"/>
      <c r="F110" s="191" t="s">
        <v>195</v>
      </c>
      <c r="G110" s="28" t="s">
        <v>283</v>
      </c>
      <c r="J110" s="194">
        <f>'Pseudo-load coefficients'!J298</f>
        <v>0.54321806667820716</v>
      </c>
      <c r="K110" s="194">
        <f>'Pseudo-load coefficients'!K298</f>
        <v>0.54321806667820716</v>
      </c>
      <c r="L110" s="194">
        <f>'Pseudo-load coefficients'!L298</f>
        <v>0.56727962390924291</v>
      </c>
      <c r="M110" s="194">
        <f>'Pseudo-load coefficients'!M298</f>
        <v>0.56727962390924291</v>
      </c>
      <c r="N110" s="194">
        <f>'Pseudo-load coefficients'!N298</f>
        <v>0.50609866832265693</v>
      </c>
      <c r="O110" s="194">
        <f>'Pseudo-load coefficients'!O298</f>
        <v>0.4307796513832764</v>
      </c>
      <c r="P110" s="194">
        <f>'Pseudo-load coefficients'!P298</f>
        <v>0.441021820745501</v>
      </c>
      <c r="Q110" s="194">
        <f>'Pseudo-load coefficients'!Q298</f>
        <v>0.43019495494991017</v>
      </c>
      <c r="R110" s="194">
        <f>'Pseudo-load coefficients'!R298</f>
        <v>0.38942442676649514</v>
      </c>
      <c r="S110" s="194">
        <f>'Pseudo-load coefficients'!S298</f>
        <v>0.38942442676649514</v>
      </c>
      <c r="T110" s="194">
        <f>'Pseudo-load coefficients'!T298</f>
        <v>0.38942442676649514</v>
      </c>
      <c r="U110" s="194">
        <f>'Pseudo-load coefficients'!U298</f>
        <v>0.38942442676649514</v>
      </c>
      <c r="V110" s="194">
        <f>'Pseudo-load coefficients'!V298</f>
        <v>0.38942442676649514</v>
      </c>
      <c r="W110" s="194">
        <f>'Pseudo-load coefficients'!W298</f>
        <v>0.38942442676649514</v>
      </c>
      <c r="X110" s="194">
        <f>'Pseudo-load coefficients'!X298</f>
        <v>0.38942442676649514</v>
      </c>
      <c r="Y110" s="194">
        <f>'Pseudo-load coefficients'!Y298</f>
        <v>0.38942442676649514</v>
      </c>
    </row>
    <row r="111" spans="3:25" x14ac:dyDescent="0.25">
      <c r="C111" s="32"/>
      <c r="E111" s="32"/>
      <c r="F111" s="191" t="s">
        <v>196</v>
      </c>
      <c r="G111" s="28" t="s">
        <v>283</v>
      </c>
      <c r="J111" s="194">
        <f>'Pseudo-load coefficients'!J299</f>
        <v>0</v>
      </c>
      <c r="K111" s="194">
        <f>'Pseudo-load coefficients'!K299</f>
        <v>0</v>
      </c>
      <c r="L111" s="194">
        <f>'Pseudo-load coefficients'!L299</f>
        <v>0</v>
      </c>
      <c r="M111" s="194">
        <f>'Pseudo-load coefficients'!M299</f>
        <v>0</v>
      </c>
      <c r="N111" s="194">
        <f>'Pseudo-load coefficients'!N299</f>
        <v>0</v>
      </c>
      <c r="O111" s="194">
        <f>'Pseudo-load coefficients'!O299</f>
        <v>0</v>
      </c>
      <c r="P111" s="194">
        <f>'Pseudo-load coefficients'!P299</f>
        <v>0</v>
      </c>
      <c r="Q111" s="194">
        <f>'Pseudo-load coefficients'!Q299</f>
        <v>0</v>
      </c>
      <c r="R111" s="194">
        <f>'Pseudo-load coefficients'!R299</f>
        <v>0</v>
      </c>
      <c r="S111" s="194">
        <f>'Pseudo-load coefficients'!S299</f>
        <v>0</v>
      </c>
      <c r="T111" s="194">
        <f>'Pseudo-load coefficients'!T299</f>
        <v>0</v>
      </c>
      <c r="U111" s="194">
        <f>'Pseudo-load coefficients'!U299</f>
        <v>0</v>
      </c>
      <c r="V111" s="194">
        <f>'Pseudo-load coefficients'!V299</f>
        <v>0</v>
      </c>
      <c r="W111" s="194">
        <f>'Pseudo-load coefficients'!W299</f>
        <v>0</v>
      </c>
      <c r="X111" s="194">
        <f>'Pseudo-load coefficients'!X299</f>
        <v>0</v>
      </c>
      <c r="Y111" s="194">
        <f>'Pseudo-load coefficients'!Y299</f>
        <v>0</v>
      </c>
    </row>
    <row r="112" spans="3:25" x14ac:dyDescent="0.25">
      <c r="C112" s="32"/>
      <c r="E112" s="32"/>
      <c r="F112" s="191" t="s">
        <v>197</v>
      </c>
      <c r="G112" s="28" t="s">
        <v>283</v>
      </c>
      <c r="J112" s="194">
        <f>'Pseudo-load coefficients'!J300</f>
        <v>0.54321806667820716</v>
      </c>
      <c r="K112" s="194">
        <f>'Pseudo-load coefficients'!K300</f>
        <v>0.54321806667820716</v>
      </c>
      <c r="L112" s="194">
        <f>'Pseudo-load coefficients'!L300</f>
        <v>0.56727962390924291</v>
      </c>
      <c r="M112" s="194">
        <f>'Pseudo-load coefficients'!M300</f>
        <v>0.56727962390924291</v>
      </c>
      <c r="N112" s="194">
        <f>'Pseudo-load coefficients'!N300</f>
        <v>0.50609866832265693</v>
      </c>
      <c r="O112" s="194">
        <f>'Pseudo-load coefficients'!O300</f>
        <v>0.4307796513832764</v>
      </c>
      <c r="P112" s="194">
        <f>'Pseudo-load coefficients'!P300</f>
        <v>0.441021820745501</v>
      </c>
      <c r="Q112" s="194">
        <f>'Pseudo-load coefficients'!Q300</f>
        <v>0.43019495494991017</v>
      </c>
      <c r="R112" s="194">
        <f>'Pseudo-load coefficients'!R300</f>
        <v>0.38942442676649514</v>
      </c>
      <c r="S112" s="194">
        <f>'Pseudo-load coefficients'!S300</f>
        <v>0.38942442676649514</v>
      </c>
      <c r="T112" s="194">
        <f>'Pseudo-load coefficients'!T300</f>
        <v>0.38942442676649514</v>
      </c>
      <c r="U112" s="194">
        <f>'Pseudo-load coefficients'!U300</f>
        <v>0.38942442676649514</v>
      </c>
      <c r="V112" s="194">
        <f>'Pseudo-load coefficients'!V300</f>
        <v>0.38942442676649514</v>
      </c>
      <c r="W112" s="194">
        <f>'Pseudo-load coefficients'!W300</f>
        <v>0.38942442676649514</v>
      </c>
      <c r="X112" s="194">
        <f>'Pseudo-load coefficients'!X300</f>
        <v>0.38942442676649514</v>
      </c>
      <c r="Y112" s="194">
        <f>'Pseudo-load coefficients'!Y300</f>
        <v>0.38942442676649514</v>
      </c>
    </row>
    <row r="113" spans="2:27" x14ac:dyDescent="0.25">
      <c r="C113" s="32"/>
      <c r="E113" s="32"/>
      <c r="F113" s="191" t="s">
        <v>198</v>
      </c>
      <c r="G113" s="28" t="s">
        <v>283</v>
      </c>
      <c r="J113" s="194">
        <f>'Pseudo-load coefficients'!J301</f>
        <v>0.54321806667820716</v>
      </c>
      <c r="K113" s="194">
        <f>'Pseudo-load coefficients'!K301</f>
        <v>0.54321806667820716</v>
      </c>
      <c r="L113" s="194">
        <f>'Pseudo-load coefficients'!L301</f>
        <v>0.56727962390924291</v>
      </c>
      <c r="M113" s="194">
        <f>'Pseudo-load coefficients'!M301</f>
        <v>0.56727962390924291</v>
      </c>
      <c r="N113" s="194">
        <f>'Pseudo-load coefficients'!N301</f>
        <v>0.50609866832265693</v>
      </c>
      <c r="O113" s="194">
        <f>'Pseudo-load coefficients'!O301</f>
        <v>0.4307796513832764</v>
      </c>
      <c r="P113" s="194">
        <f>'Pseudo-load coefficients'!P301</f>
        <v>0.441021820745501</v>
      </c>
      <c r="Q113" s="194">
        <f>'Pseudo-load coefficients'!Q301</f>
        <v>0.43019495494991017</v>
      </c>
      <c r="R113" s="194">
        <f>'Pseudo-load coefficients'!R301</f>
        <v>0.38942442676649514</v>
      </c>
      <c r="S113" s="194">
        <f>'Pseudo-load coefficients'!S301</f>
        <v>0.38942442676649514</v>
      </c>
      <c r="T113" s="194">
        <f>'Pseudo-load coefficients'!T301</f>
        <v>0.38942442676649514</v>
      </c>
      <c r="U113" s="194">
        <f>'Pseudo-load coefficients'!U301</f>
        <v>0.38942442676649514</v>
      </c>
      <c r="V113" s="194">
        <f>'Pseudo-load coefficients'!V301</f>
        <v>0.38942442676649514</v>
      </c>
      <c r="W113" s="194">
        <f>'Pseudo-load coefficients'!W301</f>
        <v>0.38942442676649514</v>
      </c>
      <c r="X113" s="194">
        <f>'Pseudo-load coefficients'!X301</f>
        <v>0.38942442676649514</v>
      </c>
      <c r="Y113" s="194">
        <f>'Pseudo-load coefficients'!Y301</f>
        <v>0.38942442676649514</v>
      </c>
    </row>
    <row r="114" spans="2:27" x14ac:dyDescent="0.25">
      <c r="C114" s="32"/>
      <c r="E114" s="32"/>
      <c r="F114" s="192" t="s">
        <v>199</v>
      </c>
      <c r="G114" s="67" t="s">
        <v>283</v>
      </c>
      <c r="H114" s="37"/>
      <c r="I114" s="37"/>
      <c r="J114" s="195">
        <f>'Pseudo-load coefficients'!J302</f>
        <v>0.54321806667820716</v>
      </c>
      <c r="K114" s="195">
        <f>'Pseudo-load coefficients'!K302</f>
        <v>0.54321806667820716</v>
      </c>
      <c r="L114" s="195">
        <f>'Pseudo-load coefficients'!L302</f>
        <v>0.56727962390924291</v>
      </c>
      <c r="M114" s="195">
        <f>'Pseudo-load coefficients'!M302</f>
        <v>0.56727962390924291</v>
      </c>
      <c r="N114" s="195">
        <f>'Pseudo-load coefficients'!N302</f>
        <v>0.50609866832265693</v>
      </c>
      <c r="O114" s="195">
        <f>'Pseudo-load coefficients'!O302</f>
        <v>0.4307796513832764</v>
      </c>
      <c r="P114" s="195">
        <f>'Pseudo-load coefficients'!P302</f>
        <v>0.441021820745501</v>
      </c>
      <c r="Q114" s="195">
        <f>'Pseudo-load coefficients'!Q302</f>
        <v>0.43019495494991017</v>
      </c>
      <c r="R114" s="195">
        <f>'Pseudo-load coefficients'!R302</f>
        <v>0.38942442676649514</v>
      </c>
      <c r="S114" s="195">
        <f>'Pseudo-load coefficients'!S302</f>
        <v>0.38942442676649514</v>
      </c>
      <c r="T114" s="195">
        <f>'Pseudo-load coefficients'!T302</f>
        <v>0.38942442676649514</v>
      </c>
      <c r="U114" s="195">
        <f>'Pseudo-load coefficients'!U302</f>
        <v>0.38942442676649514</v>
      </c>
      <c r="V114" s="195">
        <f>'Pseudo-load coefficients'!V302</f>
        <v>0.38942442676649514</v>
      </c>
      <c r="W114" s="195">
        <f>'Pseudo-load coefficients'!W302</f>
        <v>0.38942442676649514</v>
      </c>
      <c r="X114" s="195">
        <f>'Pseudo-load coefficients'!X302</f>
        <v>0.38942442676649514</v>
      </c>
      <c r="Y114" s="195">
        <f>'Pseudo-load coefficients'!Y302</f>
        <v>0.38942442676649514</v>
      </c>
    </row>
    <row r="115" spans="2:27" x14ac:dyDescent="0.25">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25">
      <c r="B116" s="30" t="s">
        <v>619</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25">
      <c r="J117" s="89"/>
      <c r="K117" s="89"/>
      <c r="L117" s="89"/>
      <c r="M117" s="89"/>
      <c r="N117" s="89"/>
      <c r="O117" s="89"/>
      <c r="P117" s="89"/>
      <c r="Q117" s="89"/>
      <c r="R117" s="89"/>
      <c r="S117" s="89"/>
      <c r="T117" s="89"/>
      <c r="U117" s="89"/>
      <c r="V117" s="89"/>
      <c r="W117" s="89"/>
      <c r="X117" s="89"/>
      <c r="Y117" s="89"/>
    </row>
    <row r="118" spans="2:27" x14ac:dyDescent="0.25">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25">
      <c r="C119" s="32"/>
      <c r="D119" s="32"/>
      <c r="E119" s="32"/>
      <c r="J119" s="89"/>
      <c r="K119" s="89"/>
      <c r="L119" s="89"/>
      <c r="M119" s="89"/>
      <c r="N119" s="89"/>
      <c r="O119" s="89"/>
      <c r="P119" s="89"/>
      <c r="Q119" s="89"/>
      <c r="R119" s="89"/>
      <c r="S119" s="89"/>
      <c r="T119" s="89"/>
      <c r="U119" s="89"/>
      <c r="V119" s="89"/>
      <c r="W119" s="89"/>
      <c r="X119" s="89"/>
      <c r="Y119" s="89"/>
    </row>
    <row r="120" spans="2:27" x14ac:dyDescent="0.25">
      <c r="D120" s="29" t="s">
        <v>620</v>
      </c>
      <c r="E120" s="32"/>
      <c r="F120" s="32"/>
      <c r="J120" s="163"/>
      <c r="K120" s="163"/>
      <c r="L120" s="163"/>
      <c r="M120" s="163"/>
      <c r="N120" s="163"/>
      <c r="O120" s="163"/>
      <c r="P120" s="163"/>
      <c r="Q120" s="163"/>
      <c r="R120" s="163"/>
      <c r="S120" s="163"/>
      <c r="T120" s="163"/>
      <c r="U120" s="163"/>
      <c r="V120" s="163"/>
      <c r="W120" s="163"/>
      <c r="X120" s="163"/>
      <c r="Y120" s="163"/>
    </row>
    <row r="121" spans="2:27" x14ac:dyDescent="0.25">
      <c r="D121" s="32"/>
      <c r="E121" s="32"/>
      <c r="F121" s="32"/>
      <c r="I121" s="3" t="s">
        <v>154</v>
      </c>
      <c r="J121" s="163"/>
      <c r="K121" s="163"/>
      <c r="L121" s="163"/>
      <c r="M121" s="163"/>
      <c r="N121" s="163"/>
      <c r="O121" s="163"/>
      <c r="P121" s="163"/>
      <c r="Q121" s="163"/>
      <c r="R121" s="163"/>
      <c r="S121" s="163"/>
      <c r="T121" s="163"/>
      <c r="U121" s="163"/>
      <c r="V121" s="163"/>
      <c r="W121" s="163"/>
      <c r="X121" s="163"/>
      <c r="Y121" s="163"/>
      <c r="AA121" t="s">
        <v>615</v>
      </c>
    </row>
    <row r="122" spans="2:27" x14ac:dyDescent="0.25">
      <c r="E122" s="32" t="s">
        <v>621</v>
      </c>
      <c r="J122" s="89"/>
      <c r="K122" s="89"/>
      <c r="L122" s="89"/>
      <c r="M122" s="89"/>
      <c r="N122" s="89"/>
      <c r="O122" s="89"/>
      <c r="P122" s="89"/>
      <c r="Q122" s="89"/>
      <c r="R122" s="89"/>
      <c r="S122" s="89"/>
      <c r="T122" s="89"/>
      <c r="U122" s="89"/>
      <c r="V122" s="89"/>
      <c r="W122" s="89"/>
      <c r="X122" s="89"/>
      <c r="Y122" s="89"/>
    </row>
    <row r="123" spans="2:27" x14ac:dyDescent="0.25">
      <c r="E123" s="32"/>
      <c r="F123" s="190" t="s">
        <v>189</v>
      </c>
      <c r="G123" s="23" t="s">
        <v>269</v>
      </c>
      <c r="H123" s="270"/>
      <c r="I123" s="270"/>
      <c r="J123" s="282">
        <f t="shared" ref="J123:Y123" si="0">hundred * $H18 * J55 / $H43 * J$78 * (1 - J67) / hours_in_year</f>
        <v>0</v>
      </c>
      <c r="K123" s="282">
        <f t="shared" si="0"/>
        <v>0</v>
      </c>
      <c r="L123" s="282">
        <f t="shared" si="0"/>
        <v>0</v>
      </c>
      <c r="M123" s="282">
        <f t="shared" si="0"/>
        <v>0</v>
      </c>
      <c r="N123" s="282">
        <f t="shared" si="0"/>
        <v>0</v>
      </c>
      <c r="O123" s="282">
        <f t="shared" si="0"/>
        <v>0</v>
      </c>
      <c r="P123" s="282">
        <f t="shared" si="0"/>
        <v>0</v>
      </c>
      <c r="Q123" s="282">
        <f t="shared" si="0"/>
        <v>0</v>
      </c>
      <c r="R123" s="282">
        <f t="shared" si="0"/>
        <v>0</v>
      </c>
      <c r="S123" s="282">
        <f t="shared" si="0"/>
        <v>0</v>
      </c>
      <c r="T123" s="282">
        <f t="shared" si="0"/>
        <v>0</v>
      </c>
      <c r="U123" s="282">
        <f t="shared" si="0"/>
        <v>0</v>
      </c>
      <c r="V123" s="282">
        <f t="shared" si="0"/>
        <v>0</v>
      </c>
      <c r="W123" s="282">
        <f t="shared" si="0"/>
        <v>0</v>
      </c>
      <c r="X123" s="282">
        <f t="shared" si="0"/>
        <v>0</v>
      </c>
      <c r="Y123" s="282">
        <f t="shared" si="0"/>
        <v>0</v>
      </c>
      <c r="Z123" s="272"/>
      <c r="AA123" s="272"/>
    </row>
    <row r="124" spans="2:27" x14ac:dyDescent="0.25">
      <c r="E124" s="32"/>
      <c r="F124" s="191" t="s">
        <v>191</v>
      </c>
      <c r="G124" t="s">
        <v>269</v>
      </c>
      <c r="H124" s="272"/>
      <c r="I124" s="272"/>
      <c r="J124" s="283">
        <f t="shared" ref="J124:Y124" si="1">hundred * $H19 * J56 / $H44 * J$78 * (1 - J68) / hours_in_year</f>
        <v>0</v>
      </c>
      <c r="K124" s="283">
        <f t="shared" si="1"/>
        <v>0</v>
      </c>
      <c r="L124" s="283">
        <f t="shared" si="1"/>
        <v>0</v>
      </c>
      <c r="M124" s="283">
        <f t="shared" si="1"/>
        <v>0</v>
      </c>
      <c r="N124" s="283">
        <f t="shared" si="1"/>
        <v>0</v>
      </c>
      <c r="O124" s="283">
        <f t="shared" si="1"/>
        <v>0</v>
      </c>
      <c r="P124" s="283">
        <f t="shared" si="1"/>
        <v>0</v>
      </c>
      <c r="Q124" s="283">
        <f t="shared" si="1"/>
        <v>0</v>
      </c>
      <c r="R124" s="283">
        <f t="shared" si="1"/>
        <v>0</v>
      </c>
      <c r="S124" s="283">
        <f t="shared" si="1"/>
        <v>0</v>
      </c>
      <c r="T124" s="283">
        <f t="shared" si="1"/>
        <v>0</v>
      </c>
      <c r="U124" s="283">
        <f t="shared" si="1"/>
        <v>0</v>
      </c>
      <c r="V124" s="283">
        <f t="shared" si="1"/>
        <v>0</v>
      </c>
      <c r="W124" s="283">
        <f t="shared" si="1"/>
        <v>0</v>
      </c>
      <c r="X124" s="283">
        <f t="shared" si="1"/>
        <v>0</v>
      </c>
      <c r="Y124" s="283">
        <f t="shared" si="1"/>
        <v>0</v>
      </c>
      <c r="Z124" s="272"/>
      <c r="AA124" s="272"/>
    </row>
    <row r="125" spans="2:27" x14ac:dyDescent="0.25">
      <c r="E125" s="32"/>
      <c r="F125" s="191" t="s">
        <v>192</v>
      </c>
      <c r="G125" t="s">
        <v>269</v>
      </c>
      <c r="H125" s="272"/>
      <c r="I125" s="272"/>
      <c r="J125" s="283">
        <f t="shared" ref="J125:Y125" si="2">hundred * $H20 * J57 / $H45 * J$78 * (1 - J69) / hours_in_year</f>
        <v>0</v>
      </c>
      <c r="K125" s="283">
        <f t="shared" si="2"/>
        <v>0</v>
      </c>
      <c r="L125" s="283">
        <f t="shared" si="2"/>
        <v>0</v>
      </c>
      <c r="M125" s="283">
        <f t="shared" si="2"/>
        <v>0</v>
      </c>
      <c r="N125" s="283">
        <f t="shared" si="2"/>
        <v>0</v>
      </c>
      <c r="O125" s="283">
        <f t="shared" si="2"/>
        <v>0</v>
      </c>
      <c r="P125" s="283">
        <f t="shared" si="2"/>
        <v>0</v>
      </c>
      <c r="Q125" s="283">
        <f t="shared" si="2"/>
        <v>0</v>
      </c>
      <c r="R125" s="283">
        <f t="shared" si="2"/>
        <v>0</v>
      </c>
      <c r="S125" s="283">
        <f t="shared" si="2"/>
        <v>0</v>
      </c>
      <c r="T125" s="283">
        <f t="shared" si="2"/>
        <v>0</v>
      </c>
      <c r="U125" s="283">
        <f t="shared" si="2"/>
        <v>0</v>
      </c>
      <c r="V125" s="283">
        <f t="shared" si="2"/>
        <v>0</v>
      </c>
      <c r="W125" s="283">
        <f t="shared" si="2"/>
        <v>0</v>
      </c>
      <c r="X125" s="283">
        <f t="shared" si="2"/>
        <v>0</v>
      </c>
      <c r="Y125" s="283">
        <f t="shared" si="2"/>
        <v>0</v>
      </c>
      <c r="Z125" s="272"/>
      <c r="AA125" s="272"/>
    </row>
    <row r="126" spans="2:27" x14ac:dyDescent="0.25">
      <c r="E126" s="32"/>
      <c r="F126" s="191" t="s">
        <v>193</v>
      </c>
      <c r="G126" t="s">
        <v>269</v>
      </c>
      <c r="H126" s="272"/>
      <c r="I126" s="272"/>
      <c r="J126" s="283">
        <f t="shared" ref="J126:Y126" si="3">hundred * $H21 * J58 / $H46 * J$78 * (1 - J70) / hours_in_year</f>
        <v>0</v>
      </c>
      <c r="K126" s="283">
        <f t="shared" si="3"/>
        <v>0</v>
      </c>
      <c r="L126" s="283">
        <f t="shared" si="3"/>
        <v>0</v>
      </c>
      <c r="M126" s="283">
        <f t="shared" si="3"/>
        <v>0</v>
      </c>
      <c r="N126" s="283">
        <f t="shared" si="3"/>
        <v>0</v>
      </c>
      <c r="O126" s="283">
        <f t="shared" si="3"/>
        <v>0</v>
      </c>
      <c r="P126" s="283">
        <f t="shared" si="3"/>
        <v>0</v>
      </c>
      <c r="Q126" s="283">
        <f t="shared" si="3"/>
        <v>0</v>
      </c>
      <c r="R126" s="283">
        <f t="shared" si="3"/>
        <v>0</v>
      </c>
      <c r="S126" s="283">
        <f t="shared" si="3"/>
        <v>0</v>
      </c>
      <c r="T126" s="283">
        <f t="shared" si="3"/>
        <v>0</v>
      </c>
      <c r="U126" s="283">
        <f t="shared" si="3"/>
        <v>0</v>
      </c>
      <c r="V126" s="283">
        <f t="shared" si="3"/>
        <v>0</v>
      </c>
      <c r="W126" s="283">
        <f t="shared" si="3"/>
        <v>0</v>
      </c>
      <c r="X126" s="283">
        <f t="shared" si="3"/>
        <v>0</v>
      </c>
      <c r="Y126" s="283">
        <f t="shared" si="3"/>
        <v>0</v>
      </c>
      <c r="Z126" s="272"/>
      <c r="AA126" s="272"/>
    </row>
    <row r="127" spans="2:27" x14ac:dyDescent="0.25">
      <c r="E127" s="32"/>
      <c r="F127" s="191" t="s">
        <v>194</v>
      </c>
      <c r="G127" t="s">
        <v>269</v>
      </c>
      <c r="H127" s="272"/>
      <c r="I127" s="272"/>
      <c r="J127" s="283">
        <f t="shared" ref="J127:Y127" si="4">hundred * $H22 * J59 / $H47 * J$78 * (1 - J71) / hours_in_year</f>
        <v>0.2003352080181186</v>
      </c>
      <c r="K127" s="283">
        <f t="shared" si="4"/>
        <v>0</v>
      </c>
      <c r="L127" s="283">
        <f t="shared" si="4"/>
        <v>0.17702451668338812</v>
      </c>
      <c r="M127" s="283">
        <f t="shared" si="4"/>
        <v>0</v>
      </c>
      <c r="N127" s="283">
        <f t="shared" si="4"/>
        <v>0.14800650636225282</v>
      </c>
      <c r="O127" s="283">
        <f t="shared" si="4"/>
        <v>0.11389914868181479</v>
      </c>
      <c r="P127" s="283">
        <f t="shared" si="4"/>
        <v>0.11682002915477047</v>
      </c>
      <c r="Q127" s="283">
        <f t="shared" si="4"/>
        <v>0.18248843924312494</v>
      </c>
      <c r="R127" s="283">
        <f t="shared" si="4"/>
        <v>-0.10452895208764383</v>
      </c>
      <c r="S127" s="283">
        <f t="shared" si="4"/>
        <v>-0.10127736528894309</v>
      </c>
      <c r="T127" s="283">
        <f t="shared" si="4"/>
        <v>-0.10452895208764383</v>
      </c>
      <c r="U127" s="283">
        <f t="shared" si="4"/>
        <v>-0.10452895208764383</v>
      </c>
      <c r="V127" s="283">
        <f t="shared" si="4"/>
        <v>-0.10127736528894309</v>
      </c>
      <c r="W127" s="283">
        <f t="shared" si="4"/>
        <v>-0.10127736528894309</v>
      </c>
      <c r="X127" s="283">
        <f t="shared" si="4"/>
        <v>-9.8552836120776741E-2</v>
      </c>
      <c r="Y127" s="283">
        <f t="shared" si="4"/>
        <v>-9.8552836120776741E-2</v>
      </c>
      <c r="Z127" s="272"/>
      <c r="AA127" s="272"/>
    </row>
    <row r="128" spans="2:27" x14ac:dyDescent="0.25">
      <c r="E128" s="32"/>
      <c r="F128" s="191" t="s">
        <v>195</v>
      </c>
      <c r="G128" t="s">
        <v>269</v>
      </c>
      <c r="H128" s="272"/>
      <c r="I128" s="272"/>
      <c r="J128" s="283">
        <f t="shared" ref="J128:Y128" si="5">hundred * $H23 * J60 / $H48 * J$78 * (1 - J72) / hours_in_year</f>
        <v>0.18167707165671959</v>
      </c>
      <c r="K128" s="283">
        <f t="shared" si="5"/>
        <v>0</v>
      </c>
      <c r="L128" s="283">
        <f t="shared" si="5"/>
        <v>0.1605374118740793</v>
      </c>
      <c r="M128" s="283">
        <f t="shared" si="5"/>
        <v>0</v>
      </c>
      <c r="N128" s="283">
        <f t="shared" si="5"/>
        <v>0.13422198188749637</v>
      </c>
      <c r="O128" s="283">
        <f t="shared" si="5"/>
        <v>0.10329119879334409</v>
      </c>
      <c r="P128" s="283">
        <f t="shared" si="5"/>
        <v>0.10614015069475431</v>
      </c>
      <c r="Q128" s="283">
        <f t="shared" si="5"/>
        <v>0.16549245427642276</v>
      </c>
      <c r="R128" s="283">
        <f t="shared" si="5"/>
        <v>-9.4793691565743909E-2</v>
      </c>
      <c r="S128" s="283">
        <f t="shared" si="5"/>
        <v>-9.1844939952536869E-2</v>
      </c>
      <c r="T128" s="283">
        <f t="shared" si="5"/>
        <v>-9.4793691565743909E-2</v>
      </c>
      <c r="U128" s="283">
        <f t="shared" si="5"/>
        <v>-9.4793691565743909E-2</v>
      </c>
      <c r="V128" s="283">
        <f t="shared" si="5"/>
        <v>-9.1844939952536869E-2</v>
      </c>
      <c r="W128" s="283">
        <f t="shared" si="5"/>
        <v>-9.1844939952536869E-2</v>
      </c>
      <c r="X128" s="283">
        <f t="shared" si="5"/>
        <v>-8.9542974376389348E-2</v>
      </c>
      <c r="Y128" s="283">
        <f t="shared" si="5"/>
        <v>-8.9542974376389348E-2</v>
      </c>
      <c r="Z128" s="272"/>
      <c r="AA128" s="272"/>
    </row>
    <row r="129" spans="4:27" x14ac:dyDescent="0.25">
      <c r="E129" s="32"/>
      <c r="F129" s="191" t="s">
        <v>196</v>
      </c>
      <c r="G129" t="s">
        <v>269</v>
      </c>
      <c r="H129" s="272"/>
      <c r="I129" s="272"/>
      <c r="J129" s="283">
        <f t="shared" ref="J129:Y129" si="6">hundred * $H24 * J61 / $H49 * J$78 * (1 - J73) / hours_in_year</f>
        <v>0</v>
      </c>
      <c r="K129" s="283">
        <f t="shared" si="6"/>
        <v>0</v>
      </c>
      <c r="L129" s="283">
        <f t="shared" si="6"/>
        <v>0</v>
      </c>
      <c r="M129" s="283">
        <f t="shared" si="6"/>
        <v>0</v>
      </c>
      <c r="N129" s="283">
        <f t="shared" si="6"/>
        <v>0</v>
      </c>
      <c r="O129" s="283">
        <f t="shared" si="6"/>
        <v>0</v>
      </c>
      <c r="P129" s="283">
        <f t="shared" si="6"/>
        <v>0</v>
      </c>
      <c r="Q129" s="283">
        <f t="shared" si="6"/>
        <v>0</v>
      </c>
      <c r="R129" s="283">
        <f t="shared" si="6"/>
        <v>0</v>
      </c>
      <c r="S129" s="283">
        <f t="shared" si="6"/>
        <v>0</v>
      </c>
      <c r="T129" s="283">
        <f t="shared" si="6"/>
        <v>0</v>
      </c>
      <c r="U129" s="283">
        <f t="shared" si="6"/>
        <v>0</v>
      </c>
      <c r="V129" s="283">
        <f t="shared" si="6"/>
        <v>0</v>
      </c>
      <c r="W129" s="283">
        <f t="shared" si="6"/>
        <v>0</v>
      </c>
      <c r="X129" s="283">
        <f t="shared" si="6"/>
        <v>0</v>
      </c>
      <c r="Y129" s="283">
        <f t="shared" si="6"/>
        <v>0</v>
      </c>
      <c r="Z129" s="272"/>
      <c r="AA129" s="272"/>
    </row>
    <row r="130" spans="4:27" x14ac:dyDescent="0.25">
      <c r="E130" s="32"/>
      <c r="F130" s="191" t="s">
        <v>197</v>
      </c>
      <c r="G130" t="s">
        <v>269</v>
      </c>
      <c r="H130" s="272"/>
      <c r="I130" s="272"/>
      <c r="J130" s="283">
        <f t="shared" ref="J130:Y130" si="7">hundred * $H25 * J62 / $H50 * J$78 * (1 - J74) / hours_in_year</f>
        <v>0.43330840947211213</v>
      </c>
      <c r="K130" s="283">
        <f t="shared" si="7"/>
        <v>0</v>
      </c>
      <c r="L130" s="283">
        <f t="shared" si="7"/>
        <v>0.38288932095605904</v>
      </c>
      <c r="M130" s="283">
        <f t="shared" si="7"/>
        <v>0</v>
      </c>
      <c r="N130" s="283">
        <f t="shared" si="7"/>
        <v>0.32012577568268274</v>
      </c>
      <c r="O130" s="283">
        <f t="shared" si="7"/>
        <v>0.24635439493531858</v>
      </c>
      <c r="P130" s="283">
        <f t="shared" si="7"/>
        <v>0.2700404307740597</v>
      </c>
      <c r="Q130" s="283">
        <f t="shared" si="7"/>
        <v>0.39470733146584552</v>
      </c>
      <c r="R130" s="283">
        <f t="shared" si="7"/>
        <v>-0.22608743825392474</v>
      </c>
      <c r="S130" s="283">
        <f t="shared" si="7"/>
        <v>-0.21905452617649254</v>
      </c>
      <c r="T130" s="283">
        <f t="shared" si="7"/>
        <v>-0.22608743825392474</v>
      </c>
      <c r="U130" s="283">
        <f t="shared" si="7"/>
        <v>-0.22608743825392474</v>
      </c>
      <c r="V130" s="283">
        <f t="shared" si="7"/>
        <v>-0.21905452617649254</v>
      </c>
      <c r="W130" s="283">
        <f t="shared" si="7"/>
        <v>-0.21905452617649254</v>
      </c>
      <c r="X130" s="283">
        <f t="shared" si="7"/>
        <v>0</v>
      </c>
      <c r="Y130" s="283">
        <f t="shared" si="7"/>
        <v>0</v>
      </c>
      <c r="Z130" s="272"/>
      <c r="AA130" s="272"/>
    </row>
    <row r="131" spans="4:27" x14ac:dyDescent="0.25">
      <c r="E131" s="32"/>
      <c r="F131" s="191" t="s">
        <v>198</v>
      </c>
      <c r="G131" t="s">
        <v>269</v>
      </c>
      <c r="H131" s="272"/>
      <c r="I131" s="272"/>
      <c r="J131" s="283">
        <f t="shared" ref="J131:Y131" si="8">hundred * $H26 * J63 / $H51 * J$78 * (1 - J75) / hours_in_year</f>
        <v>3.9685128801673436E-2</v>
      </c>
      <c r="K131" s="283">
        <f t="shared" si="8"/>
        <v>0</v>
      </c>
      <c r="L131" s="283">
        <f t="shared" si="8"/>
        <v>3.5067429310772336E-2</v>
      </c>
      <c r="M131" s="283">
        <f t="shared" si="8"/>
        <v>0</v>
      </c>
      <c r="N131" s="283">
        <f t="shared" si="8"/>
        <v>2.9319146277774998E-2</v>
      </c>
      <c r="O131" s="283">
        <f t="shared" si="8"/>
        <v>2.2562695946236118E-2</v>
      </c>
      <c r="P131" s="283">
        <f t="shared" si="8"/>
        <v>0</v>
      </c>
      <c r="Q131" s="283">
        <f t="shared" si="8"/>
        <v>3.6149797570903204E-2</v>
      </c>
      <c r="R131" s="283">
        <f t="shared" si="8"/>
        <v>-2.0706519678392845E-2</v>
      </c>
      <c r="S131" s="283">
        <f t="shared" si="8"/>
        <v>0</v>
      </c>
      <c r="T131" s="283">
        <f t="shared" si="8"/>
        <v>-2.0706519678392845E-2</v>
      </c>
      <c r="U131" s="283">
        <f t="shared" si="8"/>
        <v>-2.0706519678392845E-2</v>
      </c>
      <c r="V131" s="283">
        <f t="shared" si="8"/>
        <v>0</v>
      </c>
      <c r="W131" s="283">
        <f t="shared" si="8"/>
        <v>0</v>
      </c>
      <c r="X131" s="283">
        <f t="shared" si="8"/>
        <v>0</v>
      </c>
      <c r="Y131" s="283">
        <f t="shared" si="8"/>
        <v>0</v>
      </c>
      <c r="Z131" s="272"/>
      <c r="AA131" s="272"/>
    </row>
    <row r="132" spans="4:27" x14ac:dyDescent="0.25">
      <c r="E132" s="32"/>
      <c r="F132" s="192" t="s">
        <v>199</v>
      </c>
      <c r="G132" s="37" t="s">
        <v>269</v>
      </c>
      <c r="H132" s="276"/>
      <c r="I132" s="276"/>
      <c r="J132" s="284">
        <f t="shared" ref="J132:Y132" si="9">hundred * $H27 * J64 / $H52 * J$78 * (1 - J76) / hours_in_year</f>
        <v>1.4411999128622507E-2</v>
      </c>
      <c r="K132" s="284">
        <f t="shared" si="9"/>
        <v>0</v>
      </c>
      <c r="L132" s="284">
        <f t="shared" si="9"/>
        <v>1.2735041460885242E-2</v>
      </c>
      <c r="M132" s="284">
        <f t="shared" si="9"/>
        <v>0</v>
      </c>
      <c r="N132" s="284">
        <f t="shared" si="9"/>
        <v>1.0647502562456876E-2</v>
      </c>
      <c r="O132" s="284">
        <f t="shared" si="9"/>
        <v>0</v>
      </c>
      <c r="P132" s="284">
        <f t="shared" si="9"/>
        <v>0</v>
      </c>
      <c r="Q132" s="284">
        <f t="shared" si="9"/>
        <v>1.3128112893255064E-2</v>
      </c>
      <c r="R132" s="284">
        <f t="shared" si="9"/>
        <v>0</v>
      </c>
      <c r="S132" s="284">
        <f t="shared" si="9"/>
        <v>0</v>
      </c>
      <c r="T132" s="284">
        <f t="shared" si="9"/>
        <v>0</v>
      </c>
      <c r="U132" s="284">
        <f t="shared" si="9"/>
        <v>0</v>
      </c>
      <c r="V132" s="284">
        <f t="shared" si="9"/>
        <v>0</v>
      </c>
      <c r="W132" s="284">
        <f t="shared" si="9"/>
        <v>0</v>
      </c>
      <c r="X132" s="284">
        <f t="shared" si="9"/>
        <v>0</v>
      </c>
      <c r="Y132" s="284">
        <f t="shared" si="9"/>
        <v>0</v>
      </c>
      <c r="Z132" s="272"/>
      <c r="AA132" s="272"/>
    </row>
    <row r="133" spans="4:27" x14ac:dyDescent="0.25">
      <c r="E133" s="32"/>
      <c r="F133" s="191"/>
      <c r="J133" s="89"/>
      <c r="K133" s="89"/>
      <c r="L133" s="89"/>
      <c r="M133" s="89"/>
      <c r="N133" s="89"/>
      <c r="O133" s="89"/>
      <c r="P133" s="89"/>
      <c r="Q133" s="89"/>
      <c r="R133" s="89"/>
      <c r="S133" s="89"/>
      <c r="T133" s="89"/>
      <c r="U133" s="89"/>
      <c r="V133" s="89"/>
      <c r="W133" s="89"/>
      <c r="X133" s="89"/>
      <c r="Y133" s="89"/>
    </row>
    <row r="134" spans="4:27" x14ac:dyDescent="0.25">
      <c r="E134" s="32" t="s">
        <v>622</v>
      </c>
      <c r="J134" s="89"/>
      <c r="K134" s="89"/>
      <c r="L134" s="89"/>
      <c r="M134" s="89"/>
      <c r="N134" s="89"/>
      <c r="O134" s="89"/>
      <c r="P134" s="89"/>
      <c r="Q134" s="89"/>
      <c r="R134" s="89"/>
      <c r="S134" s="89"/>
      <c r="T134" s="89"/>
      <c r="U134" s="89"/>
      <c r="V134" s="89"/>
      <c r="W134" s="89"/>
      <c r="X134" s="89"/>
      <c r="Y134" s="89"/>
    </row>
    <row r="135" spans="4:27" x14ac:dyDescent="0.25">
      <c r="D135" s="32"/>
      <c r="E135" s="32"/>
      <c r="F135" s="190" t="s">
        <v>189</v>
      </c>
      <c r="G135" s="23" t="s">
        <v>269</v>
      </c>
      <c r="H135" s="270"/>
      <c r="I135" s="270"/>
      <c r="J135" s="282">
        <f t="shared" ref="J135:Y135" si="10">hundred * $H30 * J55 / $H43 * J$78 / hours_in_year</f>
        <v>0.59179793298224037</v>
      </c>
      <c r="K135" s="282">
        <f t="shared" si="10"/>
        <v>0</v>
      </c>
      <c r="L135" s="282">
        <f t="shared" si="10"/>
        <v>0.52293725150366133</v>
      </c>
      <c r="M135" s="282">
        <f t="shared" si="10"/>
        <v>0</v>
      </c>
      <c r="N135" s="282">
        <f t="shared" si="10"/>
        <v>0.43721692956328606</v>
      </c>
      <c r="O135" s="282">
        <f t="shared" si="10"/>
        <v>0.33646247918757555</v>
      </c>
      <c r="P135" s="282">
        <f t="shared" si="10"/>
        <v>0.34692894557805093</v>
      </c>
      <c r="Q135" s="282">
        <f t="shared" si="10"/>
        <v>0.5390778895313757</v>
      </c>
      <c r="R135" s="282">
        <f t="shared" si="10"/>
        <v>-0.30878255696658446</v>
      </c>
      <c r="S135" s="282">
        <f t="shared" si="10"/>
        <v>-0.29917724412407398</v>
      </c>
      <c r="T135" s="282">
        <f t="shared" si="10"/>
        <v>-0.30878255696658446</v>
      </c>
      <c r="U135" s="282">
        <f t="shared" si="10"/>
        <v>-0.30878255696658446</v>
      </c>
      <c r="V135" s="282">
        <f t="shared" si="10"/>
        <v>-0.29917724412407398</v>
      </c>
      <c r="W135" s="282">
        <f t="shared" si="10"/>
        <v>-0.29917724412407398</v>
      </c>
      <c r="X135" s="282">
        <f t="shared" si="10"/>
        <v>-0.29267953249531703</v>
      </c>
      <c r="Y135" s="282">
        <f t="shared" si="10"/>
        <v>-0.29267953249531703</v>
      </c>
      <c r="Z135" s="272"/>
      <c r="AA135" s="272"/>
    </row>
    <row r="136" spans="4:27" x14ac:dyDescent="0.25">
      <c r="D136" s="32"/>
      <c r="E136" s="32"/>
      <c r="F136" s="191" t="s">
        <v>191</v>
      </c>
      <c r="G136" t="s">
        <v>269</v>
      </c>
      <c r="H136" s="272"/>
      <c r="I136" s="272"/>
      <c r="J136" s="283">
        <f t="shared" ref="J136:Y136" si="11">hundred * $H31 * J56 / $H44 * J$78 / hours_in_year</f>
        <v>0</v>
      </c>
      <c r="K136" s="283">
        <f t="shared" si="11"/>
        <v>0</v>
      </c>
      <c r="L136" s="283">
        <f t="shared" si="11"/>
        <v>0</v>
      </c>
      <c r="M136" s="283">
        <f t="shared" si="11"/>
        <v>0</v>
      </c>
      <c r="N136" s="283">
        <f t="shared" si="11"/>
        <v>0</v>
      </c>
      <c r="O136" s="283">
        <f t="shared" si="11"/>
        <v>0</v>
      </c>
      <c r="P136" s="283">
        <f t="shared" si="11"/>
        <v>0</v>
      </c>
      <c r="Q136" s="283">
        <f t="shared" si="11"/>
        <v>0</v>
      </c>
      <c r="R136" s="283">
        <f t="shared" si="11"/>
        <v>0</v>
      </c>
      <c r="S136" s="283">
        <f t="shared" si="11"/>
        <v>0</v>
      </c>
      <c r="T136" s="283">
        <f t="shared" si="11"/>
        <v>0</v>
      </c>
      <c r="U136" s="283">
        <f t="shared" si="11"/>
        <v>0</v>
      </c>
      <c r="V136" s="283">
        <f t="shared" si="11"/>
        <v>0</v>
      </c>
      <c r="W136" s="283">
        <f t="shared" si="11"/>
        <v>0</v>
      </c>
      <c r="X136" s="283">
        <f t="shared" si="11"/>
        <v>0</v>
      </c>
      <c r="Y136" s="283">
        <f t="shared" si="11"/>
        <v>0</v>
      </c>
      <c r="Z136" s="272"/>
      <c r="AA136" s="272"/>
    </row>
    <row r="137" spans="4:27" x14ac:dyDescent="0.25">
      <c r="D137" s="32"/>
      <c r="E137" s="32"/>
      <c r="F137" s="191" t="s">
        <v>192</v>
      </c>
      <c r="G137" t="s">
        <v>269</v>
      </c>
      <c r="H137" s="272"/>
      <c r="I137" s="272"/>
      <c r="J137" s="283">
        <f t="shared" ref="J137:Y137" si="12">hundred * $H32 * J57 / $H45 * J$78 / hours_in_year</f>
        <v>0</v>
      </c>
      <c r="K137" s="283">
        <f t="shared" si="12"/>
        <v>0</v>
      </c>
      <c r="L137" s="283">
        <f t="shared" si="12"/>
        <v>0</v>
      </c>
      <c r="M137" s="283">
        <f t="shared" si="12"/>
        <v>0</v>
      </c>
      <c r="N137" s="283">
        <f t="shared" si="12"/>
        <v>0</v>
      </c>
      <c r="O137" s="283">
        <f t="shared" si="12"/>
        <v>0</v>
      </c>
      <c r="P137" s="283">
        <f t="shared" si="12"/>
        <v>0</v>
      </c>
      <c r="Q137" s="283">
        <f t="shared" si="12"/>
        <v>0</v>
      </c>
      <c r="R137" s="283">
        <f t="shared" si="12"/>
        <v>0</v>
      </c>
      <c r="S137" s="283">
        <f t="shared" si="12"/>
        <v>0</v>
      </c>
      <c r="T137" s="283">
        <f t="shared" si="12"/>
        <v>0</v>
      </c>
      <c r="U137" s="283">
        <f t="shared" si="12"/>
        <v>0</v>
      </c>
      <c r="V137" s="283">
        <f t="shared" si="12"/>
        <v>0</v>
      </c>
      <c r="W137" s="283">
        <f t="shared" si="12"/>
        <v>0</v>
      </c>
      <c r="X137" s="283">
        <f t="shared" si="12"/>
        <v>0</v>
      </c>
      <c r="Y137" s="283">
        <f t="shared" si="12"/>
        <v>0</v>
      </c>
      <c r="Z137" s="272"/>
      <c r="AA137" s="272"/>
    </row>
    <row r="138" spans="4:27" x14ac:dyDescent="0.25">
      <c r="D138" s="32"/>
      <c r="E138" s="32"/>
      <c r="F138" s="191" t="s">
        <v>193</v>
      </c>
      <c r="G138" t="s">
        <v>269</v>
      </c>
      <c r="H138" s="272"/>
      <c r="I138" s="272"/>
      <c r="J138" s="283">
        <f t="shared" ref="J138:Y138" si="13">hundred * $H33 * J58 / $H46 * J$78 / hours_in_year</f>
        <v>0</v>
      </c>
      <c r="K138" s="283">
        <f t="shared" si="13"/>
        <v>0</v>
      </c>
      <c r="L138" s="283">
        <f t="shared" si="13"/>
        <v>0</v>
      </c>
      <c r="M138" s="283">
        <f t="shared" si="13"/>
        <v>0</v>
      </c>
      <c r="N138" s="283">
        <f t="shared" si="13"/>
        <v>0</v>
      </c>
      <c r="O138" s="283">
        <f t="shared" si="13"/>
        <v>0</v>
      </c>
      <c r="P138" s="283">
        <f t="shared" si="13"/>
        <v>0</v>
      </c>
      <c r="Q138" s="283">
        <f t="shared" si="13"/>
        <v>0</v>
      </c>
      <c r="R138" s="283">
        <f t="shared" si="13"/>
        <v>0</v>
      </c>
      <c r="S138" s="283">
        <f t="shared" si="13"/>
        <v>0</v>
      </c>
      <c r="T138" s="283">
        <f t="shared" si="13"/>
        <v>0</v>
      </c>
      <c r="U138" s="283">
        <f t="shared" si="13"/>
        <v>0</v>
      </c>
      <c r="V138" s="283">
        <f t="shared" si="13"/>
        <v>0</v>
      </c>
      <c r="W138" s="283">
        <f t="shared" si="13"/>
        <v>0</v>
      </c>
      <c r="X138" s="283">
        <f t="shared" si="13"/>
        <v>0</v>
      </c>
      <c r="Y138" s="283">
        <f t="shared" si="13"/>
        <v>0</v>
      </c>
      <c r="Z138" s="272"/>
      <c r="AA138" s="272"/>
    </row>
    <row r="139" spans="4:27" x14ac:dyDescent="0.25">
      <c r="D139" s="32"/>
      <c r="E139" s="32"/>
      <c r="F139" s="191" t="s">
        <v>194</v>
      </c>
      <c r="G139" t="s">
        <v>269</v>
      </c>
      <c r="H139" s="272"/>
      <c r="I139" s="272"/>
      <c r="J139" s="283">
        <f t="shared" ref="J139:Y139" si="14">hundred * $H34 * J59 / $H47 * J$78 / hours_in_year</f>
        <v>0.16959144228331544</v>
      </c>
      <c r="K139" s="283">
        <f t="shared" si="14"/>
        <v>0</v>
      </c>
      <c r="L139" s="283">
        <f t="shared" si="14"/>
        <v>0.1498580474238328</v>
      </c>
      <c r="M139" s="283">
        <f t="shared" si="14"/>
        <v>0</v>
      </c>
      <c r="N139" s="283">
        <f t="shared" si="14"/>
        <v>0.12529318800027911</v>
      </c>
      <c r="O139" s="283">
        <f t="shared" si="14"/>
        <v>9.6420000712225104E-2</v>
      </c>
      <c r="P139" s="283">
        <f t="shared" si="14"/>
        <v>9.9419374369760047E-2</v>
      </c>
      <c r="Q139" s="283">
        <f t="shared" si="14"/>
        <v>0.15448346757138029</v>
      </c>
      <c r="R139" s="283">
        <f t="shared" si="14"/>
        <v>-8.8487769675032954E-2</v>
      </c>
      <c r="S139" s="283">
        <f t="shared" si="14"/>
        <v>-8.5735176656779405E-2</v>
      </c>
      <c r="T139" s="283">
        <f t="shared" si="14"/>
        <v>-8.8487769675032954E-2</v>
      </c>
      <c r="U139" s="283">
        <f t="shared" si="14"/>
        <v>-8.8487769675032954E-2</v>
      </c>
      <c r="V139" s="283">
        <f t="shared" si="14"/>
        <v>-8.5735176656779405E-2</v>
      </c>
      <c r="W139" s="283">
        <f t="shared" si="14"/>
        <v>-8.5735176656779405E-2</v>
      </c>
      <c r="X139" s="283">
        <f t="shared" si="14"/>
        <v>-8.3873128438549091E-2</v>
      </c>
      <c r="Y139" s="283">
        <f t="shared" si="14"/>
        <v>-8.3873128438549091E-2</v>
      </c>
      <c r="Z139" s="272"/>
      <c r="AA139" s="272"/>
    </row>
    <row r="140" spans="4:27" x14ac:dyDescent="0.25">
      <c r="D140" s="32"/>
      <c r="E140" s="32"/>
      <c r="F140" s="191" t="s">
        <v>195</v>
      </c>
      <c r="G140" t="s">
        <v>269</v>
      </c>
      <c r="H140" s="272"/>
      <c r="I140" s="272"/>
      <c r="J140" s="283">
        <f t="shared" ref="J140:Y140" si="15">hundred * $H35 * J60 / $H48 * J$78 / hours_in_year</f>
        <v>0.15344571038969754</v>
      </c>
      <c r="K140" s="283">
        <f t="shared" si="15"/>
        <v>0</v>
      </c>
      <c r="L140" s="283">
        <f t="shared" si="15"/>
        <v>0.13559100762966553</v>
      </c>
      <c r="M140" s="283">
        <f t="shared" si="15"/>
        <v>0</v>
      </c>
      <c r="N140" s="283">
        <f t="shared" si="15"/>
        <v>0.11336481358283843</v>
      </c>
      <c r="O140" s="283">
        <f t="shared" si="15"/>
        <v>8.7240460402158465E-2</v>
      </c>
      <c r="P140" s="283">
        <f t="shared" si="15"/>
        <v>8.9954282605732419E-2</v>
      </c>
      <c r="Q140" s="283">
        <f t="shared" si="15"/>
        <v>0.13977607068966091</v>
      </c>
      <c r="R140" s="283">
        <f t="shared" si="15"/>
        <v>-8.0063407066862297E-2</v>
      </c>
      <c r="S140" s="283">
        <f t="shared" si="15"/>
        <v>-7.7572871073931543E-2</v>
      </c>
      <c r="T140" s="283">
        <f t="shared" si="15"/>
        <v>-8.0063407066862297E-2</v>
      </c>
      <c r="U140" s="283">
        <f t="shared" si="15"/>
        <v>-8.0063407066862297E-2</v>
      </c>
      <c r="V140" s="283">
        <f t="shared" si="15"/>
        <v>-7.7572871073931543E-2</v>
      </c>
      <c r="W140" s="283">
        <f t="shared" si="15"/>
        <v>-7.7572871073931543E-2</v>
      </c>
      <c r="X140" s="283">
        <f t="shared" si="15"/>
        <v>-7.58880967257725E-2</v>
      </c>
      <c r="Y140" s="283">
        <f t="shared" si="15"/>
        <v>-7.58880967257725E-2</v>
      </c>
      <c r="Z140" s="272"/>
      <c r="AA140" s="272"/>
    </row>
    <row r="141" spans="4:27" x14ac:dyDescent="0.25">
      <c r="D141" s="32"/>
      <c r="E141" s="32"/>
      <c r="F141" s="191" t="s">
        <v>196</v>
      </c>
      <c r="G141" t="s">
        <v>269</v>
      </c>
      <c r="H141" s="272"/>
      <c r="I141" s="272"/>
      <c r="J141" s="283">
        <f t="shared" ref="J141:Y141" si="16">hundred * $H36 * J61 / $H49 * J$78 / hours_in_year</f>
        <v>0</v>
      </c>
      <c r="K141" s="283">
        <f t="shared" si="16"/>
        <v>0</v>
      </c>
      <c r="L141" s="283">
        <f t="shared" si="16"/>
        <v>0</v>
      </c>
      <c r="M141" s="283">
        <f t="shared" si="16"/>
        <v>0</v>
      </c>
      <c r="N141" s="283">
        <f t="shared" si="16"/>
        <v>0</v>
      </c>
      <c r="O141" s="283">
        <f t="shared" si="16"/>
        <v>0</v>
      </c>
      <c r="P141" s="283">
        <f t="shared" si="16"/>
        <v>0</v>
      </c>
      <c r="Q141" s="283">
        <f t="shared" si="16"/>
        <v>0</v>
      </c>
      <c r="R141" s="283">
        <f t="shared" si="16"/>
        <v>0</v>
      </c>
      <c r="S141" s="283">
        <f t="shared" si="16"/>
        <v>0</v>
      </c>
      <c r="T141" s="283">
        <f t="shared" si="16"/>
        <v>0</v>
      </c>
      <c r="U141" s="283">
        <f t="shared" si="16"/>
        <v>0</v>
      </c>
      <c r="V141" s="283">
        <f t="shared" si="16"/>
        <v>0</v>
      </c>
      <c r="W141" s="283">
        <f t="shared" si="16"/>
        <v>0</v>
      </c>
      <c r="X141" s="283">
        <f t="shared" si="16"/>
        <v>0</v>
      </c>
      <c r="Y141" s="283">
        <f t="shared" si="16"/>
        <v>0</v>
      </c>
      <c r="Z141" s="272"/>
      <c r="AA141" s="272"/>
    </row>
    <row r="142" spans="4:27" x14ac:dyDescent="0.25">
      <c r="D142" s="32"/>
      <c r="E142" s="32"/>
      <c r="F142" s="191" t="s">
        <v>197</v>
      </c>
      <c r="G142" t="s">
        <v>269</v>
      </c>
      <c r="H142" s="272"/>
      <c r="I142" s="272"/>
      <c r="J142" s="283">
        <f t="shared" ref="J142:Y142" si="17">hundred * $H37 * J62 / $H50 * J$78 / hours_in_year</f>
        <v>0.63407669944509548</v>
      </c>
      <c r="K142" s="283">
        <f t="shared" si="17"/>
        <v>0</v>
      </c>
      <c r="L142" s="283">
        <f t="shared" si="17"/>
        <v>0.56029652685569975</v>
      </c>
      <c r="M142" s="283">
        <f t="shared" si="17"/>
        <v>0</v>
      </c>
      <c r="N142" s="283">
        <f t="shared" si="17"/>
        <v>0.46845224051724899</v>
      </c>
      <c r="O142" s="283">
        <f t="shared" si="17"/>
        <v>0.36049976926292249</v>
      </c>
      <c r="P142" s="283">
        <f t="shared" si="17"/>
        <v>0.37171397278384755</v>
      </c>
      <c r="Q142" s="283">
        <f t="shared" si="17"/>
        <v>0.57759027175943234</v>
      </c>
      <c r="R142" s="283">
        <f t="shared" si="17"/>
        <v>-0.33084235962254488</v>
      </c>
      <c r="S142" s="283">
        <f t="shared" si="17"/>
        <v>-0.32055083150985819</v>
      </c>
      <c r="T142" s="283">
        <f t="shared" si="17"/>
        <v>-0.33084235962254488</v>
      </c>
      <c r="U142" s="283">
        <f t="shared" si="17"/>
        <v>-0.33084235962254488</v>
      </c>
      <c r="V142" s="283">
        <f t="shared" si="17"/>
        <v>-0.32055083150985819</v>
      </c>
      <c r="W142" s="283">
        <f t="shared" si="17"/>
        <v>-0.32055083150985819</v>
      </c>
      <c r="X142" s="283">
        <f t="shared" si="17"/>
        <v>0</v>
      </c>
      <c r="Y142" s="283">
        <f t="shared" si="17"/>
        <v>0</v>
      </c>
      <c r="Z142" s="272"/>
      <c r="AA142" s="272"/>
    </row>
    <row r="143" spans="4:27" x14ac:dyDescent="0.25">
      <c r="D143" s="32"/>
      <c r="E143" s="32"/>
      <c r="F143" s="191" t="s">
        <v>198</v>
      </c>
      <c r="G143" t="s">
        <v>269</v>
      </c>
      <c r="H143" s="272"/>
      <c r="I143" s="272"/>
      <c r="J143" s="283">
        <f t="shared" ref="J143:Y143" si="18">hundred * $H38 * J63 / $H51 * J$78 / hours_in_year</f>
        <v>0.15354266588532203</v>
      </c>
      <c r="K143" s="283">
        <f t="shared" si="18"/>
        <v>0</v>
      </c>
      <c r="L143" s="283">
        <f t="shared" si="18"/>
        <v>0.13567668153552823</v>
      </c>
      <c r="M143" s="283">
        <f t="shared" si="18"/>
        <v>0</v>
      </c>
      <c r="N143" s="283">
        <f t="shared" si="18"/>
        <v>0.11343644374870873</v>
      </c>
      <c r="O143" s="283">
        <f t="shared" si="18"/>
        <v>8.7295583755266998E-2</v>
      </c>
      <c r="P143" s="283">
        <f t="shared" si="18"/>
        <v>0</v>
      </c>
      <c r="Q143" s="283">
        <f t="shared" si="18"/>
        <v>0.13986438895007849</v>
      </c>
      <c r="R143" s="283">
        <f t="shared" si="18"/>
        <v>-8.0113995560303006E-2</v>
      </c>
      <c r="S143" s="283">
        <f t="shared" si="18"/>
        <v>0</v>
      </c>
      <c r="T143" s="283">
        <f t="shared" si="18"/>
        <v>-8.0113995560303006E-2</v>
      </c>
      <c r="U143" s="283">
        <f t="shared" si="18"/>
        <v>-8.0113995560303006E-2</v>
      </c>
      <c r="V143" s="283">
        <f t="shared" si="18"/>
        <v>0</v>
      </c>
      <c r="W143" s="283">
        <f t="shared" si="18"/>
        <v>0</v>
      </c>
      <c r="X143" s="283">
        <f t="shared" si="18"/>
        <v>0</v>
      </c>
      <c r="Y143" s="283">
        <f t="shared" si="18"/>
        <v>0</v>
      </c>
      <c r="Z143" s="272"/>
      <c r="AA143" s="272"/>
    </row>
    <row r="144" spans="4:27" x14ac:dyDescent="0.25">
      <c r="D144" s="32"/>
      <c r="E144" s="32"/>
      <c r="F144" s="192" t="s">
        <v>199</v>
      </c>
      <c r="G144" s="37" t="s">
        <v>269</v>
      </c>
      <c r="H144" s="276"/>
      <c r="I144" s="276"/>
      <c r="J144" s="284">
        <f t="shared" ref="J144:Y144" si="19">hundred * $H39 * J64 / $H52 * J$78 / hours_in_year</f>
        <v>0.36448095959830623</v>
      </c>
      <c r="K144" s="284">
        <f t="shared" si="19"/>
        <v>0</v>
      </c>
      <c r="L144" s="284">
        <f t="shared" si="19"/>
        <v>0.3220705254532803</v>
      </c>
      <c r="M144" s="284">
        <f t="shared" si="19"/>
        <v>0</v>
      </c>
      <c r="N144" s="284">
        <f t="shared" si="19"/>
        <v>0.26927644920421484</v>
      </c>
      <c r="O144" s="284">
        <f t="shared" si="19"/>
        <v>0</v>
      </c>
      <c r="P144" s="284">
        <f t="shared" si="19"/>
        <v>0</v>
      </c>
      <c r="Q144" s="284">
        <f t="shared" si="19"/>
        <v>0.33201134293336904</v>
      </c>
      <c r="R144" s="284">
        <f t="shared" si="19"/>
        <v>0</v>
      </c>
      <c r="S144" s="284">
        <f t="shared" si="19"/>
        <v>0</v>
      </c>
      <c r="T144" s="284">
        <f t="shared" si="19"/>
        <v>0</v>
      </c>
      <c r="U144" s="284">
        <f t="shared" si="19"/>
        <v>0</v>
      </c>
      <c r="V144" s="284">
        <f t="shared" si="19"/>
        <v>0</v>
      </c>
      <c r="W144" s="284">
        <f t="shared" si="19"/>
        <v>0</v>
      </c>
      <c r="X144" s="284">
        <f t="shared" si="19"/>
        <v>0</v>
      </c>
      <c r="Y144" s="284">
        <f t="shared" si="19"/>
        <v>0</v>
      </c>
      <c r="Z144" s="272"/>
      <c r="AA144" s="272"/>
    </row>
    <row r="145" spans="3:27" x14ac:dyDescent="0.25">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25">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25">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25">
      <c r="D148" s="29" t="s">
        <v>623</v>
      </c>
      <c r="E148" s="32"/>
      <c r="F148" s="32"/>
      <c r="J148" s="163"/>
      <c r="K148" s="163"/>
      <c r="L148" s="163"/>
      <c r="M148" s="163"/>
      <c r="N148" s="163"/>
      <c r="O148" s="163"/>
      <c r="P148" s="163"/>
      <c r="Q148" s="163"/>
      <c r="R148" s="163"/>
      <c r="S148" s="163"/>
      <c r="T148" s="163"/>
      <c r="U148" s="163"/>
      <c r="V148" s="163"/>
      <c r="W148" s="163"/>
      <c r="X148" s="163"/>
      <c r="Y148" s="163"/>
    </row>
    <row r="149" spans="3:27" x14ac:dyDescent="0.25">
      <c r="D149" s="29" t="s">
        <v>624</v>
      </c>
      <c r="E149" s="32"/>
      <c r="F149" s="32"/>
      <c r="J149" s="163"/>
      <c r="K149" s="163"/>
      <c r="L149" s="163"/>
      <c r="M149" s="163"/>
      <c r="N149" s="163"/>
      <c r="O149" s="163"/>
      <c r="P149" s="163"/>
      <c r="Q149" s="163"/>
      <c r="R149" s="163"/>
      <c r="S149" s="163"/>
      <c r="T149" s="163"/>
      <c r="U149" s="163"/>
      <c r="V149" s="163"/>
      <c r="W149" s="163"/>
      <c r="X149" s="163"/>
      <c r="Y149" s="163"/>
    </row>
    <row r="150" spans="3:27" x14ac:dyDescent="0.25">
      <c r="D150" s="32"/>
      <c r="E150" s="32"/>
      <c r="F150" s="32"/>
      <c r="I150" s="3" t="s">
        <v>154</v>
      </c>
      <c r="J150" s="163"/>
      <c r="K150" s="163"/>
      <c r="L150" s="163"/>
      <c r="M150" s="163"/>
      <c r="N150" s="163"/>
      <c r="O150" s="163"/>
      <c r="P150" s="163"/>
      <c r="Q150" s="163"/>
      <c r="R150" s="163"/>
      <c r="S150" s="163"/>
      <c r="T150" s="163"/>
      <c r="U150" s="163"/>
      <c r="V150" s="163"/>
      <c r="W150" s="163"/>
      <c r="X150" s="163"/>
      <c r="Y150" s="163"/>
      <c r="AA150" t="s">
        <v>625</v>
      </c>
    </row>
    <row r="151" spans="3:27" x14ac:dyDescent="0.25">
      <c r="E151" s="32" t="s">
        <v>621</v>
      </c>
      <c r="J151" s="163"/>
      <c r="K151" s="163"/>
      <c r="L151" s="163"/>
      <c r="M151" s="163"/>
      <c r="N151" s="163"/>
      <c r="O151" s="163"/>
      <c r="P151" s="163"/>
      <c r="Q151" s="163"/>
      <c r="R151" s="163"/>
      <c r="S151" s="163"/>
      <c r="T151" s="163"/>
      <c r="U151" s="163"/>
      <c r="V151" s="163"/>
      <c r="W151" s="163"/>
      <c r="X151" s="163"/>
      <c r="Y151" s="163"/>
    </row>
    <row r="152" spans="3:27" x14ac:dyDescent="0.25">
      <c r="E152" s="32"/>
      <c r="F152" s="190" t="s">
        <v>189</v>
      </c>
      <c r="G152" s="23" t="s">
        <v>269</v>
      </c>
      <c r="H152" s="270"/>
      <c r="I152" s="270"/>
      <c r="J152" s="282">
        <f t="shared" ref="J152:Y152" si="20">hundred * $H18 * J55 / $H43 * J81 * (1 - J67) / hours_in_year</f>
        <v>0</v>
      </c>
      <c r="K152" s="282">
        <f t="shared" si="20"/>
        <v>0</v>
      </c>
      <c r="L152" s="282">
        <f t="shared" si="20"/>
        <v>0</v>
      </c>
      <c r="M152" s="282">
        <f t="shared" si="20"/>
        <v>0</v>
      </c>
      <c r="N152" s="282">
        <f t="shared" si="20"/>
        <v>0</v>
      </c>
      <c r="O152" s="282">
        <f t="shared" si="20"/>
        <v>0</v>
      </c>
      <c r="P152" s="282">
        <f t="shared" si="20"/>
        <v>0</v>
      </c>
      <c r="Q152" s="282">
        <f t="shared" si="20"/>
        <v>0</v>
      </c>
      <c r="R152" s="282">
        <f t="shared" si="20"/>
        <v>0</v>
      </c>
      <c r="S152" s="282">
        <f t="shared" si="20"/>
        <v>0</v>
      </c>
      <c r="T152" s="282">
        <f t="shared" si="20"/>
        <v>0</v>
      </c>
      <c r="U152" s="282">
        <f t="shared" si="20"/>
        <v>0</v>
      </c>
      <c r="V152" s="282">
        <f t="shared" si="20"/>
        <v>0</v>
      </c>
      <c r="W152" s="282">
        <f t="shared" si="20"/>
        <v>0</v>
      </c>
      <c r="X152" s="282">
        <f t="shared" si="20"/>
        <v>0</v>
      </c>
      <c r="Y152" s="282">
        <f t="shared" si="20"/>
        <v>0</v>
      </c>
      <c r="Z152" s="272"/>
      <c r="AA152" s="272"/>
    </row>
    <row r="153" spans="3:27" x14ac:dyDescent="0.25">
      <c r="E153" s="32"/>
      <c r="F153" s="191" t="s">
        <v>191</v>
      </c>
      <c r="G153" t="s">
        <v>269</v>
      </c>
      <c r="H153" s="272"/>
      <c r="I153" s="272"/>
      <c r="J153" s="283">
        <f t="shared" ref="J153:Y153" si="21">hundred * $H19 * J56 / $H44 * J82 * (1 - J68) / hours_in_year</f>
        <v>0</v>
      </c>
      <c r="K153" s="283">
        <f t="shared" si="21"/>
        <v>0</v>
      </c>
      <c r="L153" s="283">
        <f t="shared" si="21"/>
        <v>0</v>
      </c>
      <c r="M153" s="283">
        <f t="shared" si="21"/>
        <v>0</v>
      </c>
      <c r="N153" s="283">
        <f t="shared" si="21"/>
        <v>0</v>
      </c>
      <c r="O153" s="283">
        <f t="shared" si="21"/>
        <v>0</v>
      </c>
      <c r="P153" s="283">
        <f t="shared" si="21"/>
        <v>0</v>
      </c>
      <c r="Q153" s="283">
        <f t="shared" si="21"/>
        <v>0</v>
      </c>
      <c r="R153" s="283">
        <f t="shared" si="21"/>
        <v>0</v>
      </c>
      <c r="S153" s="283">
        <f t="shared" si="21"/>
        <v>0</v>
      </c>
      <c r="T153" s="283">
        <f t="shared" si="21"/>
        <v>0</v>
      </c>
      <c r="U153" s="283">
        <f t="shared" si="21"/>
        <v>0</v>
      </c>
      <c r="V153" s="283">
        <f t="shared" si="21"/>
        <v>0</v>
      </c>
      <c r="W153" s="283">
        <f t="shared" si="21"/>
        <v>0</v>
      </c>
      <c r="X153" s="283">
        <f t="shared" si="21"/>
        <v>0</v>
      </c>
      <c r="Y153" s="283">
        <f t="shared" si="21"/>
        <v>0</v>
      </c>
      <c r="Z153" s="272"/>
      <c r="AA153" s="272"/>
    </row>
    <row r="154" spans="3:27" x14ac:dyDescent="0.25">
      <c r="E154" s="32"/>
      <c r="F154" s="191" t="s">
        <v>192</v>
      </c>
      <c r="G154" t="s">
        <v>269</v>
      </c>
      <c r="H154" s="272"/>
      <c r="I154" s="272"/>
      <c r="J154" s="283">
        <f t="shared" ref="J154:Y154" si="22">hundred * $H20 * J57 / $H45 * J83 * (1 - J69) / hours_in_year</f>
        <v>0</v>
      </c>
      <c r="K154" s="283">
        <f t="shared" si="22"/>
        <v>0</v>
      </c>
      <c r="L154" s="283">
        <f t="shared" si="22"/>
        <v>0</v>
      </c>
      <c r="M154" s="283">
        <f t="shared" si="22"/>
        <v>0</v>
      </c>
      <c r="N154" s="283">
        <f t="shared" si="22"/>
        <v>0</v>
      </c>
      <c r="O154" s="283">
        <f t="shared" si="22"/>
        <v>0</v>
      </c>
      <c r="P154" s="283">
        <f t="shared" si="22"/>
        <v>0</v>
      </c>
      <c r="Q154" s="283">
        <f t="shared" si="22"/>
        <v>0</v>
      </c>
      <c r="R154" s="283">
        <f t="shared" si="22"/>
        <v>0</v>
      </c>
      <c r="S154" s="283">
        <f t="shared" si="22"/>
        <v>0</v>
      </c>
      <c r="T154" s="283">
        <f t="shared" si="22"/>
        <v>0</v>
      </c>
      <c r="U154" s="283">
        <f t="shared" si="22"/>
        <v>0</v>
      </c>
      <c r="V154" s="283">
        <f t="shared" si="22"/>
        <v>0</v>
      </c>
      <c r="W154" s="283">
        <f t="shared" si="22"/>
        <v>0</v>
      </c>
      <c r="X154" s="283">
        <f t="shared" si="22"/>
        <v>0</v>
      </c>
      <c r="Y154" s="283">
        <f t="shared" si="22"/>
        <v>0</v>
      </c>
      <c r="Z154" s="272"/>
      <c r="AA154" s="272"/>
    </row>
    <row r="155" spans="3:27" x14ac:dyDescent="0.25">
      <c r="E155" s="32"/>
      <c r="F155" s="191" t="s">
        <v>193</v>
      </c>
      <c r="G155" t="s">
        <v>269</v>
      </c>
      <c r="H155" s="272"/>
      <c r="I155" s="272"/>
      <c r="J155" s="283">
        <f t="shared" ref="J155:Y155" si="23">hundred * $H21 * J58 / $H46 * J84 * (1 - J70) / hours_in_year</f>
        <v>0</v>
      </c>
      <c r="K155" s="283">
        <f t="shared" si="23"/>
        <v>0</v>
      </c>
      <c r="L155" s="283">
        <f t="shared" si="23"/>
        <v>0</v>
      </c>
      <c r="M155" s="283">
        <f t="shared" si="23"/>
        <v>0</v>
      </c>
      <c r="N155" s="283">
        <f t="shared" si="23"/>
        <v>0</v>
      </c>
      <c r="O155" s="283">
        <f t="shared" si="23"/>
        <v>0</v>
      </c>
      <c r="P155" s="283">
        <f t="shared" si="23"/>
        <v>0</v>
      </c>
      <c r="Q155" s="283">
        <f t="shared" si="23"/>
        <v>0</v>
      </c>
      <c r="R155" s="283">
        <f t="shared" si="23"/>
        <v>0</v>
      </c>
      <c r="S155" s="283">
        <f t="shared" si="23"/>
        <v>0</v>
      </c>
      <c r="T155" s="283">
        <f t="shared" si="23"/>
        <v>0</v>
      </c>
      <c r="U155" s="283">
        <f t="shared" si="23"/>
        <v>0</v>
      </c>
      <c r="V155" s="283">
        <f t="shared" si="23"/>
        <v>0</v>
      </c>
      <c r="W155" s="283">
        <f t="shared" si="23"/>
        <v>0</v>
      </c>
      <c r="X155" s="283">
        <f t="shared" si="23"/>
        <v>0</v>
      </c>
      <c r="Y155" s="283">
        <f t="shared" si="23"/>
        <v>0</v>
      </c>
      <c r="Z155" s="272"/>
      <c r="AA155" s="272"/>
    </row>
    <row r="156" spans="3:27" x14ac:dyDescent="0.25">
      <c r="E156" s="32"/>
      <c r="F156" s="191" t="s">
        <v>194</v>
      </c>
      <c r="G156" t="s">
        <v>269</v>
      </c>
      <c r="H156" s="272"/>
      <c r="I156" s="272"/>
      <c r="J156" s="283">
        <f t="shared" ref="J156:Y156" si="24">hundred * $H22 * J59 / $H47 * J85 * (1 - J71) / hours_in_year</f>
        <v>0.7503912972474287</v>
      </c>
      <c r="K156" s="283">
        <f t="shared" si="24"/>
        <v>0.7503912972474287</v>
      </c>
      <c r="L156" s="283">
        <f t="shared" si="24"/>
        <v>0.7836294832577001</v>
      </c>
      <c r="M156" s="283">
        <f t="shared" si="24"/>
        <v>0.7836294832577001</v>
      </c>
      <c r="N156" s="283">
        <f t="shared" si="24"/>
        <v>0.69911525325391122</v>
      </c>
      <c r="O156" s="283">
        <f t="shared" si="24"/>
        <v>0.57656006989100894</v>
      </c>
      <c r="P156" s="283">
        <f t="shared" si="24"/>
        <v>0.57438910175179059</v>
      </c>
      <c r="Q156" s="283">
        <f t="shared" si="24"/>
        <v>1.2938295335385723</v>
      </c>
      <c r="R156" s="283">
        <f t="shared" si="24"/>
        <v>-0.53794363388552957</v>
      </c>
      <c r="S156" s="283">
        <f t="shared" si="24"/>
        <v>-0.5212097971498405</v>
      </c>
      <c r="T156" s="283">
        <f t="shared" si="24"/>
        <v>-0.53794363388552957</v>
      </c>
      <c r="U156" s="283">
        <f t="shared" si="24"/>
        <v>-0.53794363388552957</v>
      </c>
      <c r="V156" s="283">
        <f t="shared" si="24"/>
        <v>-0.5212097971498405</v>
      </c>
      <c r="W156" s="283">
        <f t="shared" si="24"/>
        <v>-0.5212097971498405</v>
      </c>
      <c r="X156" s="283">
        <f t="shared" si="24"/>
        <v>-0.50718838880240358</v>
      </c>
      <c r="Y156" s="283">
        <f t="shared" si="24"/>
        <v>-0.50718838880240358</v>
      </c>
      <c r="Z156" s="272"/>
      <c r="AA156" s="272"/>
    </row>
    <row r="157" spans="3:27" x14ac:dyDescent="0.25">
      <c r="E157" s="32"/>
      <c r="F157" s="191" t="s">
        <v>195</v>
      </c>
      <c r="G157" t="s">
        <v>269</v>
      </c>
      <c r="H157" s="272"/>
      <c r="I157" s="272"/>
      <c r="J157" s="283">
        <f t="shared" ref="J157:Y157" si="25">hundred * $H23 * J60 / $H48 * J86 * (1 - J72) / hours_in_year</f>
        <v>0.68050391555871759</v>
      </c>
      <c r="K157" s="283">
        <f t="shared" si="25"/>
        <v>0.68050391555871759</v>
      </c>
      <c r="L157" s="283">
        <f t="shared" si="25"/>
        <v>0.71064647692507166</v>
      </c>
      <c r="M157" s="283">
        <f t="shared" si="25"/>
        <v>0.71064647692507166</v>
      </c>
      <c r="N157" s="283">
        <f t="shared" si="25"/>
        <v>0.63400344461782898</v>
      </c>
      <c r="O157" s="283">
        <f t="shared" si="25"/>
        <v>0.5228623873369207</v>
      </c>
      <c r="P157" s="283">
        <f t="shared" si="25"/>
        <v>0.5218775090065112</v>
      </c>
      <c r="Q157" s="283">
        <f t="shared" si="25"/>
        <v>1.1733292575062901</v>
      </c>
      <c r="R157" s="283">
        <f t="shared" si="25"/>
        <v>-0.48784247705405059</v>
      </c>
      <c r="S157" s="283">
        <f t="shared" si="25"/>
        <v>-0.4726671392499906</v>
      </c>
      <c r="T157" s="283">
        <f t="shared" si="25"/>
        <v>-0.48784247705405059</v>
      </c>
      <c r="U157" s="283">
        <f t="shared" si="25"/>
        <v>-0.48784247705405059</v>
      </c>
      <c r="V157" s="283">
        <f t="shared" si="25"/>
        <v>-0.4726671392499906</v>
      </c>
      <c r="W157" s="283">
        <f t="shared" si="25"/>
        <v>-0.4726671392499906</v>
      </c>
      <c r="X157" s="283">
        <f t="shared" si="25"/>
        <v>-0.4608203953347364</v>
      </c>
      <c r="Y157" s="283">
        <f t="shared" si="25"/>
        <v>-0.4608203953347364</v>
      </c>
      <c r="Z157" s="272"/>
      <c r="AA157" s="272"/>
    </row>
    <row r="158" spans="3:27" x14ac:dyDescent="0.25">
      <c r="E158" s="32"/>
      <c r="F158" s="191" t="s">
        <v>196</v>
      </c>
      <c r="G158" t="s">
        <v>269</v>
      </c>
      <c r="H158" s="272"/>
      <c r="I158" s="272"/>
      <c r="J158" s="283">
        <f t="shared" ref="J158:Y158" si="26">hundred * $H24 * J61 / $H49 * J87 * (1 - J73) / hours_in_year</f>
        <v>0</v>
      </c>
      <c r="K158" s="283">
        <f t="shared" si="26"/>
        <v>0</v>
      </c>
      <c r="L158" s="283">
        <f t="shared" si="26"/>
        <v>0</v>
      </c>
      <c r="M158" s="283">
        <f t="shared" si="26"/>
        <v>0</v>
      </c>
      <c r="N158" s="283">
        <f t="shared" si="26"/>
        <v>0</v>
      </c>
      <c r="O158" s="283">
        <f t="shared" si="26"/>
        <v>0</v>
      </c>
      <c r="P158" s="283">
        <f t="shared" si="26"/>
        <v>0</v>
      </c>
      <c r="Q158" s="283">
        <f t="shared" si="26"/>
        <v>0</v>
      </c>
      <c r="R158" s="283">
        <f t="shared" si="26"/>
        <v>0</v>
      </c>
      <c r="S158" s="283">
        <f t="shared" si="26"/>
        <v>0</v>
      </c>
      <c r="T158" s="283">
        <f t="shared" si="26"/>
        <v>0</v>
      </c>
      <c r="U158" s="283">
        <f t="shared" si="26"/>
        <v>0</v>
      </c>
      <c r="V158" s="283">
        <f t="shared" si="26"/>
        <v>0</v>
      </c>
      <c r="W158" s="283">
        <f t="shared" si="26"/>
        <v>0</v>
      </c>
      <c r="X158" s="283">
        <f t="shared" si="26"/>
        <v>0</v>
      </c>
      <c r="Y158" s="283">
        <f t="shared" si="26"/>
        <v>0</v>
      </c>
      <c r="Z158" s="272"/>
      <c r="AA158" s="272"/>
    </row>
    <row r="159" spans="3:27" x14ac:dyDescent="0.25">
      <c r="E159" s="32"/>
      <c r="F159" s="191" t="s">
        <v>197</v>
      </c>
      <c r="G159" t="s">
        <v>269</v>
      </c>
      <c r="H159" s="272"/>
      <c r="I159" s="272"/>
      <c r="J159" s="283">
        <f t="shared" ref="J159:Y159" si="27">hundred * $H25 * J62 / $H50 * J88 * (1 - J74) / hours_in_year</f>
        <v>1.6230340273617363</v>
      </c>
      <c r="K159" s="283">
        <f t="shared" si="27"/>
        <v>1.6230340273617363</v>
      </c>
      <c r="L159" s="283">
        <f t="shared" si="27"/>
        <v>1.6949254620043495</v>
      </c>
      <c r="M159" s="283">
        <f t="shared" si="27"/>
        <v>1.6949254620043495</v>
      </c>
      <c r="N159" s="283">
        <f t="shared" si="27"/>
        <v>1.5121282046326447</v>
      </c>
      <c r="O159" s="283">
        <f t="shared" si="27"/>
        <v>1.2470515258955785</v>
      </c>
      <c r="P159" s="283">
        <f t="shared" si="27"/>
        <v>1.3277541667403763</v>
      </c>
      <c r="Q159" s="283">
        <f t="shared" si="27"/>
        <v>2.7984457792109092</v>
      </c>
      <c r="R159" s="283">
        <f t="shared" si="27"/>
        <v>-1.1635273833818842</v>
      </c>
      <c r="S159" s="283">
        <f t="shared" si="27"/>
        <v>-1.1273334849052292</v>
      </c>
      <c r="T159" s="283">
        <f t="shared" si="27"/>
        <v>-1.1635273833818842</v>
      </c>
      <c r="U159" s="283">
        <f t="shared" si="27"/>
        <v>-1.1635273833818842</v>
      </c>
      <c r="V159" s="283">
        <f t="shared" si="27"/>
        <v>-1.1273334849052292</v>
      </c>
      <c r="W159" s="283">
        <f t="shared" si="27"/>
        <v>-1.1273334849052292</v>
      </c>
      <c r="X159" s="283">
        <f t="shared" si="27"/>
        <v>0</v>
      </c>
      <c r="Y159" s="283">
        <f t="shared" si="27"/>
        <v>0</v>
      </c>
      <c r="Z159" s="272"/>
      <c r="AA159" s="272"/>
    </row>
    <row r="160" spans="3:27" x14ac:dyDescent="0.25">
      <c r="E160" s="32"/>
      <c r="F160" s="191" t="s">
        <v>198</v>
      </c>
      <c r="G160" t="s">
        <v>269</v>
      </c>
      <c r="H160" s="272"/>
      <c r="I160" s="272"/>
      <c r="J160" s="283">
        <f t="shared" ref="J160:Y160" si="28">hundred * $H26 * J63 / $H51 * J89 * (1 - J75) / hours_in_year</f>
        <v>0.14864773684826155</v>
      </c>
      <c r="K160" s="283">
        <f t="shared" si="28"/>
        <v>0.14864773684826155</v>
      </c>
      <c r="L160" s="283">
        <f t="shared" si="28"/>
        <v>0.15523200980757232</v>
      </c>
      <c r="M160" s="283">
        <f t="shared" si="28"/>
        <v>0.15523200980757232</v>
      </c>
      <c r="N160" s="283">
        <f t="shared" si="28"/>
        <v>0.13849027910304593</v>
      </c>
      <c r="O160" s="283">
        <f t="shared" si="28"/>
        <v>0.1142128778155518</v>
      </c>
      <c r="P160" s="283">
        <f t="shared" si="28"/>
        <v>0</v>
      </c>
      <c r="Q160" s="283">
        <f t="shared" si="28"/>
        <v>0.25629939037597183</v>
      </c>
      <c r="R160" s="283">
        <f t="shared" si="28"/>
        <v>-0.10656320778550681</v>
      </c>
      <c r="S160" s="283">
        <f t="shared" si="28"/>
        <v>0</v>
      </c>
      <c r="T160" s="283">
        <f t="shared" si="28"/>
        <v>-0.10656320778550681</v>
      </c>
      <c r="U160" s="283">
        <f t="shared" si="28"/>
        <v>-0.10656320778550681</v>
      </c>
      <c r="V160" s="283">
        <f t="shared" si="28"/>
        <v>0</v>
      </c>
      <c r="W160" s="283">
        <f t="shared" si="28"/>
        <v>0</v>
      </c>
      <c r="X160" s="283">
        <f t="shared" si="28"/>
        <v>0</v>
      </c>
      <c r="Y160" s="283">
        <f t="shared" si="28"/>
        <v>0</v>
      </c>
      <c r="Z160" s="272"/>
      <c r="AA160" s="272"/>
    </row>
    <row r="161" spans="3:27" x14ac:dyDescent="0.25">
      <c r="E161" s="32"/>
      <c r="F161" s="192" t="s">
        <v>199</v>
      </c>
      <c r="G161" s="37" t="s">
        <v>269</v>
      </c>
      <c r="H161" s="276"/>
      <c r="I161" s="276"/>
      <c r="J161" s="284">
        <f t="shared" ref="J161:Y161" si="29">hundred * $H27 * J64 / $H52 * J90 * (1 - J76) / hours_in_year</f>
        <v>5.3982716413371351E-2</v>
      </c>
      <c r="K161" s="284">
        <f t="shared" si="29"/>
        <v>5.3982716413371351E-2</v>
      </c>
      <c r="L161" s="284">
        <f t="shared" si="29"/>
        <v>5.6373852312826919E-2</v>
      </c>
      <c r="M161" s="284">
        <f t="shared" si="29"/>
        <v>5.6373852312826919E-2</v>
      </c>
      <c r="N161" s="284">
        <f t="shared" si="29"/>
        <v>5.0293947431301313E-2</v>
      </c>
      <c r="O161" s="284">
        <f t="shared" si="29"/>
        <v>0</v>
      </c>
      <c r="P161" s="284">
        <f t="shared" si="29"/>
        <v>0</v>
      </c>
      <c r="Q161" s="284">
        <f t="shared" si="29"/>
        <v>9.3077349180966398E-2</v>
      </c>
      <c r="R161" s="284">
        <f t="shared" si="29"/>
        <v>0</v>
      </c>
      <c r="S161" s="284">
        <f t="shared" si="29"/>
        <v>0</v>
      </c>
      <c r="T161" s="284">
        <f t="shared" si="29"/>
        <v>0</v>
      </c>
      <c r="U161" s="284">
        <f t="shared" si="29"/>
        <v>0</v>
      </c>
      <c r="V161" s="284">
        <f t="shared" si="29"/>
        <v>0</v>
      </c>
      <c r="W161" s="284">
        <f t="shared" si="29"/>
        <v>0</v>
      </c>
      <c r="X161" s="284">
        <f t="shared" si="29"/>
        <v>0</v>
      </c>
      <c r="Y161" s="284">
        <f t="shared" si="29"/>
        <v>0</v>
      </c>
      <c r="Z161" s="272"/>
      <c r="AA161" s="272"/>
    </row>
    <row r="162" spans="3:27" x14ac:dyDescent="0.25">
      <c r="E162" s="32"/>
      <c r="F162" s="191"/>
      <c r="J162" s="163"/>
      <c r="K162" s="163"/>
      <c r="L162" s="163"/>
      <c r="M162" s="163"/>
      <c r="N162" s="163"/>
      <c r="O162" s="163"/>
      <c r="P162" s="163"/>
      <c r="Q162" s="163"/>
      <c r="R162" s="163"/>
      <c r="S162" s="163"/>
      <c r="T162" s="163"/>
      <c r="U162" s="163"/>
      <c r="V162" s="163"/>
      <c r="W162" s="163"/>
      <c r="X162" s="163"/>
      <c r="Y162" s="163"/>
    </row>
    <row r="163" spans="3:27" x14ac:dyDescent="0.25">
      <c r="E163" s="32" t="s">
        <v>622</v>
      </c>
      <c r="J163" s="163"/>
      <c r="K163" s="163"/>
      <c r="L163" s="163"/>
      <c r="M163" s="163"/>
      <c r="N163" s="163"/>
      <c r="O163" s="163"/>
      <c r="P163" s="163"/>
      <c r="Q163" s="163"/>
      <c r="R163" s="163"/>
      <c r="S163" s="163"/>
      <c r="T163" s="163"/>
      <c r="U163" s="163"/>
      <c r="V163" s="163"/>
      <c r="W163" s="163"/>
      <c r="X163" s="163"/>
      <c r="Y163" s="163"/>
    </row>
    <row r="164" spans="3:27" x14ac:dyDescent="0.25">
      <c r="D164" s="32"/>
      <c r="E164" s="32"/>
      <c r="F164" s="190" t="s">
        <v>189</v>
      </c>
      <c r="G164" s="23" t="s">
        <v>269</v>
      </c>
      <c r="H164" s="270"/>
      <c r="I164" s="270"/>
      <c r="J164" s="282">
        <f t="shared" ref="J164:Y164" si="30">hundred * $H30 * J55 / $H43 * J81 / hours_in_year</f>
        <v>2.4576288449393235</v>
      </c>
      <c r="K164" s="282">
        <f t="shared" si="30"/>
        <v>2.4576288449393235</v>
      </c>
      <c r="L164" s="282">
        <f t="shared" si="30"/>
        <v>2.5664882160327047</v>
      </c>
      <c r="M164" s="282">
        <f t="shared" si="30"/>
        <v>2.5664882160327047</v>
      </c>
      <c r="N164" s="282">
        <f t="shared" si="30"/>
        <v>2.2896931489429786</v>
      </c>
      <c r="O164" s="282">
        <f t="shared" si="30"/>
        <v>1.8883090246409853</v>
      </c>
      <c r="P164" s="282">
        <f t="shared" si="30"/>
        <v>1.8912187349146747</v>
      </c>
      <c r="Q164" s="282">
        <f t="shared" si="30"/>
        <v>4.7485732291916722</v>
      </c>
      <c r="R164" s="282">
        <f t="shared" si="30"/>
        <v>-1.7618351871058915</v>
      </c>
      <c r="S164" s="282">
        <f t="shared" si="30"/>
        <v>-1.707029700956211</v>
      </c>
      <c r="T164" s="282">
        <f t="shared" si="30"/>
        <v>-1.7618351871058915</v>
      </c>
      <c r="U164" s="282">
        <f t="shared" si="30"/>
        <v>-1.7618351871058915</v>
      </c>
      <c r="V164" s="282">
        <f t="shared" si="30"/>
        <v>-1.707029700956211</v>
      </c>
      <c r="W164" s="282">
        <f t="shared" si="30"/>
        <v>-1.707029700956211</v>
      </c>
      <c r="X164" s="282">
        <f t="shared" si="30"/>
        <v>-1.6699554015020159</v>
      </c>
      <c r="Y164" s="282">
        <f t="shared" si="30"/>
        <v>-1.6699554015020159</v>
      </c>
      <c r="Z164" s="272"/>
      <c r="AA164" s="272"/>
    </row>
    <row r="165" spans="3:27" x14ac:dyDescent="0.25">
      <c r="D165" s="32"/>
      <c r="E165" s="32"/>
      <c r="F165" s="191" t="s">
        <v>191</v>
      </c>
      <c r="G165" t="s">
        <v>269</v>
      </c>
      <c r="H165" s="272"/>
      <c r="I165" s="272"/>
      <c r="J165" s="283">
        <f t="shared" ref="J165:Y165" si="31">hundred * $H31 * J56 / $H44 * J82 / hours_in_year</f>
        <v>0</v>
      </c>
      <c r="K165" s="283">
        <f t="shared" si="31"/>
        <v>0</v>
      </c>
      <c r="L165" s="283">
        <f t="shared" si="31"/>
        <v>0</v>
      </c>
      <c r="M165" s="283">
        <f t="shared" si="31"/>
        <v>0</v>
      </c>
      <c r="N165" s="283">
        <f t="shared" si="31"/>
        <v>0</v>
      </c>
      <c r="O165" s="283">
        <f t="shared" si="31"/>
        <v>0</v>
      </c>
      <c r="P165" s="283">
        <f t="shared" si="31"/>
        <v>0</v>
      </c>
      <c r="Q165" s="283">
        <f t="shared" si="31"/>
        <v>0</v>
      </c>
      <c r="R165" s="283">
        <f t="shared" si="31"/>
        <v>0</v>
      </c>
      <c r="S165" s="283">
        <f t="shared" si="31"/>
        <v>0</v>
      </c>
      <c r="T165" s="283">
        <f t="shared" si="31"/>
        <v>0</v>
      </c>
      <c r="U165" s="283">
        <f t="shared" si="31"/>
        <v>0</v>
      </c>
      <c r="V165" s="283">
        <f t="shared" si="31"/>
        <v>0</v>
      </c>
      <c r="W165" s="283">
        <f t="shared" si="31"/>
        <v>0</v>
      </c>
      <c r="X165" s="283">
        <f t="shared" si="31"/>
        <v>0</v>
      </c>
      <c r="Y165" s="283">
        <f t="shared" si="31"/>
        <v>0</v>
      </c>
      <c r="Z165" s="272"/>
      <c r="AA165" s="272"/>
    </row>
    <row r="166" spans="3:27" x14ac:dyDescent="0.25">
      <c r="D166" s="32"/>
      <c r="E166" s="32"/>
      <c r="F166" s="191" t="s">
        <v>192</v>
      </c>
      <c r="G166" t="s">
        <v>269</v>
      </c>
      <c r="H166" s="272"/>
      <c r="I166" s="272"/>
      <c r="J166" s="283">
        <f t="shared" ref="J166:Y166" si="32">hundred * $H32 * J57 / $H45 * J83 / hours_in_year</f>
        <v>0</v>
      </c>
      <c r="K166" s="283">
        <f t="shared" si="32"/>
        <v>0</v>
      </c>
      <c r="L166" s="283">
        <f t="shared" si="32"/>
        <v>0</v>
      </c>
      <c r="M166" s="283">
        <f t="shared" si="32"/>
        <v>0</v>
      </c>
      <c r="N166" s="283">
        <f t="shared" si="32"/>
        <v>0</v>
      </c>
      <c r="O166" s="283">
        <f t="shared" si="32"/>
        <v>0</v>
      </c>
      <c r="P166" s="283">
        <f t="shared" si="32"/>
        <v>0</v>
      </c>
      <c r="Q166" s="283">
        <f t="shared" si="32"/>
        <v>0</v>
      </c>
      <c r="R166" s="283">
        <f t="shared" si="32"/>
        <v>0</v>
      </c>
      <c r="S166" s="283">
        <f t="shared" si="32"/>
        <v>0</v>
      </c>
      <c r="T166" s="283">
        <f t="shared" si="32"/>
        <v>0</v>
      </c>
      <c r="U166" s="283">
        <f t="shared" si="32"/>
        <v>0</v>
      </c>
      <c r="V166" s="283">
        <f t="shared" si="32"/>
        <v>0</v>
      </c>
      <c r="W166" s="283">
        <f t="shared" si="32"/>
        <v>0</v>
      </c>
      <c r="X166" s="283">
        <f t="shared" si="32"/>
        <v>0</v>
      </c>
      <c r="Y166" s="283">
        <f t="shared" si="32"/>
        <v>0</v>
      </c>
      <c r="Z166" s="272"/>
      <c r="AA166" s="272"/>
    </row>
    <row r="167" spans="3:27" x14ac:dyDescent="0.25">
      <c r="D167" s="32"/>
      <c r="E167" s="32"/>
      <c r="F167" s="191" t="s">
        <v>193</v>
      </c>
      <c r="G167" t="s">
        <v>269</v>
      </c>
      <c r="H167" s="272"/>
      <c r="I167" s="272"/>
      <c r="J167" s="283">
        <f t="shared" ref="J167:Y167" si="33">hundred * $H33 * J58 / $H46 * J84 / hours_in_year</f>
        <v>0</v>
      </c>
      <c r="K167" s="283">
        <f t="shared" si="33"/>
        <v>0</v>
      </c>
      <c r="L167" s="283">
        <f t="shared" si="33"/>
        <v>0</v>
      </c>
      <c r="M167" s="283">
        <f t="shared" si="33"/>
        <v>0</v>
      </c>
      <c r="N167" s="283">
        <f t="shared" si="33"/>
        <v>0</v>
      </c>
      <c r="O167" s="283">
        <f t="shared" si="33"/>
        <v>0</v>
      </c>
      <c r="P167" s="283">
        <f t="shared" si="33"/>
        <v>0</v>
      </c>
      <c r="Q167" s="283">
        <f t="shared" si="33"/>
        <v>0</v>
      </c>
      <c r="R167" s="283">
        <f t="shared" si="33"/>
        <v>0</v>
      </c>
      <c r="S167" s="283">
        <f t="shared" si="33"/>
        <v>0</v>
      </c>
      <c r="T167" s="283">
        <f t="shared" si="33"/>
        <v>0</v>
      </c>
      <c r="U167" s="283">
        <f t="shared" si="33"/>
        <v>0</v>
      </c>
      <c r="V167" s="283">
        <f t="shared" si="33"/>
        <v>0</v>
      </c>
      <c r="W167" s="283">
        <f t="shared" si="33"/>
        <v>0</v>
      </c>
      <c r="X167" s="283">
        <f t="shared" si="33"/>
        <v>0</v>
      </c>
      <c r="Y167" s="283">
        <f t="shared" si="33"/>
        <v>0</v>
      </c>
      <c r="Z167" s="272"/>
      <c r="AA167" s="272"/>
    </row>
    <row r="168" spans="3:27" x14ac:dyDescent="0.25">
      <c r="D168" s="32"/>
      <c r="E168" s="32"/>
      <c r="F168" s="191" t="s">
        <v>194</v>
      </c>
      <c r="G168" t="s">
        <v>269</v>
      </c>
      <c r="H168" s="272"/>
      <c r="I168" s="272"/>
      <c r="J168" s="283">
        <f t="shared" ref="J168:Y168" si="34">hundred * $H34 * J59 / $H47 * J85 / hours_in_year</f>
        <v>0.63523503250377211</v>
      </c>
      <c r="K168" s="283">
        <f t="shared" si="34"/>
        <v>0.63523503250377211</v>
      </c>
      <c r="L168" s="283">
        <f t="shared" si="34"/>
        <v>0.66337243261495593</v>
      </c>
      <c r="M168" s="283">
        <f t="shared" si="34"/>
        <v>0.66337243261495593</v>
      </c>
      <c r="N168" s="283">
        <f t="shared" si="34"/>
        <v>0.59182789333202501</v>
      </c>
      <c r="O168" s="283">
        <f t="shared" si="34"/>
        <v>0.48808022705096377</v>
      </c>
      <c r="P168" s="283">
        <f t="shared" si="34"/>
        <v>0.48883231372348535</v>
      </c>
      <c r="Q168" s="283">
        <f t="shared" si="34"/>
        <v>1.0952763562244678</v>
      </c>
      <c r="R168" s="283">
        <f t="shared" si="34"/>
        <v>-0.45538993190614668</v>
      </c>
      <c r="S168" s="283">
        <f t="shared" si="34"/>
        <v>-0.44122409687887404</v>
      </c>
      <c r="T168" s="283">
        <f t="shared" si="34"/>
        <v>-0.45538993190614668</v>
      </c>
      <c r="U168" s="283">
        <f t="shared" si="34"/>
        <v>-0.45538993190614668</v>
      </c>
      <c r="V168" s="283">
        <f t="shared" si="34"/>
        <v>-0.44122409687887404</v>
      </c>
      <c r="W168" s="283">
        <f t="shared" si="34"/>
        <v>-0.44122409687887404</v>
      </c>
      <c r="X168" s="283">
        <f t="shared" si="34"/>
        <v>-0.43164132612513084</v>
      </c>
      <c r="Y168" s="283">
        <f t="shared" si="34"/>
        <v>-0.43164132612513084</v>
      </c>
      <c r="Z168" s="272"/>
      <c r="AA168" s="272"/>
    </row>
    <row r="169" spans="3:27" x14ac:dyDescent="0.25">
      <c r="D169" s="32"/>
      <c r="E169" s="32"/>
      <c r="F169" s="191" t="s">
        <v>195</v>
      </c>
      <c r="G169" t="s">
        <v>269</v>
      </c>
      <c r="H169" s="272"/>
      <c r="I169" s="272"/>
      <c r="J169" s="283">
        <f t="shared" ref="J169:Y169" si="35">hundred * $H35 * J60 / $H48 * J86 / hours_in_year</f>
        <v>0.57475831041124126</v>
      </c>
      <c r="K169" s="283">
        <f t="shared" si="35"/>
        <v>0.57475831041124126</v>
      </c>
      <c r="L169" s="283">
        <f t="shared" si="35"/>
        <v>0.60021692607279642</v>
      </c>
      <c r="M169" s="283">
        <f t="shared" si="35"/>
        <v>0.60021692607279642</v>
      </c>
      <c r="N169" s="283">
        <f t="shared" si="35"/>
        <v>0.53548369126468021</v>
      </c>
      <c r="O169" s="283">
        <f t="shared" si="35"/>
        <v>0.4416131861293105</v>
      </c>
      <c r="P169" s="283">
        <f t="shared" si="35"/>
        <v>0.44229367137187886</v>
      </c>
      <c r="Q169" s="283">
        <f t="shared" si="35"/>
        <v>0.99100200040245379</v>
      </c>
      <c r="R169" s="283">
        <f t="shared" si="35"/>
        <v>-0.4120351278628715</v>
      </c>
      <c r="S169" s="283">
        <f t="shared" si="35"/>
        <v>-0.39921793266860095</v>
      </c>
      <c r="T169" s="283">
        <f t="shared" si="35"/>
        <v>-0.4120351278628715</v>
      </c>
      <c r="U169" s="283">
        <f t="shared" si="35"/>
        <v>-0.4120351278628715</v>
      </c>
      <c r="V169" s="283">
        <f t="shared" si="35"/>
        <v>-0.39921793266860095</v>
      </c>
      <c r="W169" s="283">
        <f t="shared" si="35"/>
        <v>-0.39921793266860095</v>
      </c>
      <c r="X169" s="283">
        <f t="shared" si="35"/>
        <v>-0.39054747709600623</v>
      </c>
      <c r="Y169" s="283">
        <f t="shared" si="35"/>
        <v>-0.39054747709600623</v>
      </c>
      <c r="Z169" s="272"/>
      <c r="AA169" s="272"/>
    </row>
    <row r="170" spans="3:27" x14ac:dyDescent="0.25">
      <c r="D170" s="32"/>
      <c r="E170" s="32"/>
      <c r="F170" s="191" t="s">
        <v>196</v>
      </c>
      <c r="G170" t="s">
        <v>269</v>
      </c>
      <c r="H170" s="272"/>
      <c r="I170" s="272"/>
      <c r="J170" s="283">
        <f t="shared" ref="J170:Y170" si="36">hundred * $H36 * J61 / $H49 * J87 / hours_in_year</f>
        <v>0</v>
      </c>
      <c r="K170" s="283">
        <f t="shared" si="36"/>
        <v>0</v>
      </c>
      <c r="L170" s="283">
        <f t="shared" si="36"/>
        <v>0</v>
      </c>
      <c r="M170" s="283">
        <f t="shared" si="36"/>
        <v>0</v>
      </c>
      <c r="N170" s="283">
        <f t="shared" si="36"/>
        <v>0</v>
      </c>
      <c r="O170" s="283">
        <f t="shared" si="36"/>
        <v>0</v>
      </c>
      <c r="P170" s="283">
        <f t="shared" si="36"/>
        <v>0</v>
      </c>
      <c r="Q170" s="283">
        <f t="shared" si="36"/>
        <v>0</v>
      </c>
      <c r="R170" s="283">
        <f t="shared" si="36"/>
        <v>0</v>
      </c>
      <c r="S170" s="283">
        <f t="shared" si="36"/>
        <v>0</v>
      </c>
      <c r="T170" s="283">
        <f t="shared" si="36"/>
        <v>0</v>
      </c>
      <c r="U170" s="283">
        <f t="shared" si="36"/>
        <v>0</v>
      </c>
      <c r="V170" s="283">
        <f t="shared" si="36"/>
        <v>0</v>
      </c>
      <c r="W170" s="283">
        <f t="shared" si="36"/>
        <v>0</v>
      </c>
      <c r="X170" s="283">
        <f t="shared" si="36"/>
        <v>0</v>
      </c>
      <c r="Y170" s="283">
        <f t="shared" si="36"/>
        <v>0</v>
      </c>
      <c r="Z170" s="272"/>
      <c r="AA170" s="272"/>
    </row>
    <row r="171" spans="3:27" x14ac:dyDescent="0.25">
      <c r="D171" s="32"/>
      <c r="E171" s="32"/>
      <c r="F171" s="191" t="s">
        <v>197</v>
      </c>
      <c r="G171" t="s">
        <v>269</v>
      </c>
      <c r="H171" s="272"/>
      <c r="I171" s="272"/>
      <c r="J171" s="283">
        <f t="shared" ref="J171:Y171" si="37">hundred * $H37 * J62 / $H50 * J88 / hours_in_year</f>
        <v>2.3750475104103552</v>
      </c>
      <c r="K171" s="283">
        <f t="shared" si="37"/>
        <v>2.3750475104103552</v>
      </c>
      <c r="L171" s="283">
        <f t="shared" si="37"/>
        <v>2.4802489849261526</v>
      </c>
      <c r="M171" s="283">
        <f t="shared" si="37"/>
        <v>2.4802489849261526</v>
      </c>
      <c r="N171" s="283">
        <f t="shared" si="37"/>
        <v>2.2127547958263536</v>
      </c>
      <c r="O171" s="283">
        <f t="shared" si="37"/>
        <v>1.8248579955813895</v>
      </c>
      <c r="P171" s="283">
        <f t="shared" si="37"/>
        <v>1.82766993366381</v>
      </c>
      <c r="Q171" s="283">
        <f t="shared" si="37"/>
        <v>4.0950722960116348</v>
      </c>
      <c r="R171" s="283">
        <f t="shared" si="37"/>
        <v>-1.7026339365708902</v>
      </c>
      <c r="S171" s="283">
        <f t="shared" si="37"/>
        <v>-1.6496700263756383</v>
      </c>
      <c r="T171" s="283">
        <f t="shared" si="37"/>
        <v>-1.7026339365708902</v>
      </c>
      <c r="U171" s="283">
        <f t="shared" si="37"/>
        <v>-1.7026339365708902</v>
      </c>
      <c r="V171" s="283">
        <f t="shared" si="37"/>
        <v>-1.6496700263756383</v>
      </c>
      <c r="W171" s="283">
        <f t="shared" si="37"/>
        <v>-1.6496700263756383</v>
      </c>
      <c r="X171" s="283">
        <f t="shared" si="37"/>
        <v>0</v>
      </c>
      <c r="Y171" s="283">
        <f t="shared" si="37"/>
        <v>0</v>
      </c>
      <c r="Z171" s="272"/>
      <c r="AA171" s="272"/>
    </row>
    <row r="172" spans="3:27" x14ac:dyDescent="0.25">
      <c r="D172" s="32"/>
      <c r="E172" s="32"/>
      <c r="F172" s="191" t="s">
        <v>198</v>
      </c>
      <c r="G172" t="s">
        <v>269</v>
      </c>
      <c r="H172" s="272"/>
      <c r="I172" s="272"/>
      <c r="J172" s="283">
        <f t="shared" ref="J172:Y172" si="38">hundred * $H38 * J63 / $H51 * J89 / hours_in_year</f>
        <v>0.57512147453429618</v>
      </c>
      <c r="K172" s="283">
        <f t="shared" si="38"/>
        <v>0.57512147453429618</v>
      </c>
      <c r="L172" s="283">
        <f t="shared" si="38"/>
        <v>0.60059617635878881</v>
      </c>
      <c r="M172" s="283">
        <f t="shared" si="38"/>
        <v>0.60059617635878881</v>
      </c>
      <c r="N172" s="283">
        <f t="shared" si="38"/>
        <v>0.53582203950884777</v>
      </c>
      <c r="O172" s="283">
        <f t="shared" si="38"/>
        <v>0.44189222179102261</v>
      </c>
      <c r="P172" s="283">
        <f t="shared" si="38"/>
        <v>0</v>
      </c>
      <c r="Q172" s="283">
        <f t="shared" si="38"/>
        <v>0.99162817033493267</v>
      </c>
      <c r="R172" s="283">
        <f t="shared" si="38"/>
        <v>-0.41229547446972797</v>
      </c>
      <c r="S172" s="283">
        <f t="shared" si="38"/>
        <v>0</v>
      </c>
      <c r="T172" s="283">
        <f t="shared" si="38"/>
        <v>-0.41229547446972797</v>
      </c>
      <c r="U172" s="283">
        <f t="shared" si="38"/>
        <v>-0.41229547446972797</v>
      </c>
      <c r="V172" s="283">
        <f t="shared" si="38"/>
        <v>0</v>
      </c>
      <c r="W172" s="283">
        <f t="shared" si="38"/>
        <v>0</v>
      </c>
      <c r="X172" s="283">
        <f t="shared" si="38"/>
        <v>0</v>
      </c>
      <c r="Y172" s="283">
        <f t="shared" si="38"/>
        <v>0</v>
      </c>
      <c r="Z172" s="272"/>
      <c r="AA172" s="272"/>
    </row>
    <row r="173" spans="3:27" x14ac:dyDescent="0.25">
      <c r="D173" s="32"/>
      <c r="E173" s="32"/>
      <c r="F173" s="192" t="s">
        <v>199</v>
      </c>
      <c r="G173" s="37" t="s">
        <v>269</v>
      </c>
      <c r="H173" s="276"/>
      <c r="I173" s="276"/>
      <c r="J173" s="284">
        <f t="shared" ref="J173:Y173" si="39">hundred * $H39 * J64 / $H52 * J90 / hours_in_year</f>
        <v>1.3652285227378738</v>
      </c>
      <c r="K173" s="284">
        <f t="shared" si="39"/>
        <v>1.3652285227378738</v>
      </c>
      <c r="L173" s="284">
        <f t="shared" si="39"/>
        <v>1.4257005987757265</v>
      </c>
      <c r="M173" s="284">
        <f t="shared" si="39"/>
        <v>1.4257005987757265</v>
      </c>
      <c r="N173" s="284">
        <f t="shared" si="39"/>
        <v>1.2719391708358756</v>
      </c>
      <c r="O173" s="284">
        <f t="shared" si="39"/>
        <v>0</v>
      </c>
      <c r="P173" s="284">
        <f t="shared" si="39"/>
        <v>0</v>
      </c>
      <c r="Q173" s="284">
        <f t="shared" si="39"/>
        <v>2.3539358588337493</v>
      </c>
      <c r="R173" s="284">
        <f t="shared" si="39"/>
        <v>0</v>
      </c>
      <c r="S173" s="284">
        <f t="shared" si="39"/>
        <v>0</v>
      </c>
      <c r="T173" s="284">
        <f t="shared" si="39"/>
        <v>0</v>
      </c>
      <c r="U173" s="284">
        <f t="shared" si="39"/>
        <v>0</v>
      </c>
      <c r="V173" s="284">
        <f t="shared" si="39"/>
        <v>0</v>
      </c>
      <c r="W173" s="284">
        <f t="shared" si="39"/>
        <v>0</v>
      </c>
      <c r="X173" s="284">
        <f t="shared" si="39"/>
        <v>0</v>
      </c>
      <c r="Y173" s="284">
        <f t="shared" si="39"/>
        <v>0</v>
      </c>
      <c r="Z173" s="272"/>
      <c r="AA173" s="272"/>
    </row>
    <row r="174" spans="3:27" x14ac:dyDescent="0.25">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25">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25">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25">
      <c r="D177" s="29" t="s">
        <v>626</v>
      </c>
      <c r="E177" s="32"/>
      <c r="F177" s="32"/>
      <c r="J177" s="163"/>
      <c r="K177" s="163"/>
      <c r="L177" s="163"/>
      <c r="M177" s="163"/>
      <c r="N177" s="163"/>
      <c r="O177" s="163"/>
      <c r="P177" s="163"/>
      <c r="Q177" s="163"/>
      <c r="R177" s="163"/>
      <c r="S177" s="163"/>
      <c r="T177" s="163"/>
      <c r="U177" s="163"/>
      <c r="V177" s="163"/>
      <c r="W177" s="163"/>
      <c r="X177" s="163"/>
      <c r="Y177" s="163"/>
    </row>
    <row r="178" spans="4:27" x14ac:dyDescent="0.25">
      <c r="D178" s="29" t="s">
        <v>624</v>
      </c>
      <c r="E178" s="32"/>
      <c r="F178" s="32"/>
      <c r="J178" s="163"/>
      <c r="K178" s="163"/>
      <c r="L178" s="163"/>
      <c r="M178" s="163"/>
      <c r="N178" s="163"/>
      <c r="O178" s="163"/>
      <c r="P178" s="163"/>
      <c r="Q178" s="163"/>
      <c r="R178" s="163"/>
      <c r="S178" s="163"/>
      <c r="T178" s="163"/>
      <c r="U178" s="163"/>
      <c r="V178" s="163"/>
      <c r="W178" s="163"/>
      <c r="X178" s="163"/>
      <c r="Y178" s="163"/>
    </row>
    <row r="179" spans="4:27" x14ac:dyDescent="0.25">
      <c r="D179" s="32"/>
      <c r="E179" s="32"/>
      <c r="F179" s="32"/>
      <c r="I179" s="3" t="s">
        <v>154</v>
      </c>
      <c r="J179" s="163"/>
      <c r="K179" s="163"/>
      <c r="L179" s="163"/>
      <c r="M179" s="163"/>
      <c r="N179" s="163"/>
      <c r="O179" s="163"/>
      <c r="P179" s="163"/>
      <c r="Q179" s="163"/>
      <c r="R179" s="163"/>
      <c r="S179" s="163"/>
      <c r="T179" s="163"/>
      <c r="U179" s="163"/>
      <c r="V179" s="163"/>
      <c r="W179" s="163"/>
      <c r="X179" s="163"/>
      <c r="Y179" s="163"/>
      <c r="AA179" t="s">
        <v>625</v>
      </c>
    </row>
    <row r="180" spans="4:27" x14ac:dyDescent="0.25">
      <c r="E180" s="32" t="s">
        <v>621</v>
      </c>
      <c r="J180" s="163"/>
      <c r="K180" s="163"/>
      <c r="L180" s="163"/>
      <c r="M180" s="163"/>
      <c r="N180" s="163"/>
      <c r="O180" s="163"/>
      <c r="P180" s="163"/>
      <c r="Q180" s="163"/>
      <c r="R180" s="163"/>
      <c r="S180" s="163"/>
      <c r="T180" s="163"/>
      <c r="U180" s="163"/>
      <c r="V180" s="163"/>
      <c r="W180" s="163"/>
      <c r="X180" s="163"/>
      <c r="Y180" s="163"/>
    </row>
    <row r="181" spans="4:27" x14ac:dyDescent="0.25">
      <c r="E181" s="32"/>
      <c r="F181" s="190" t="s">
        <v>189</v>
      </c>
      <c r="G181" s="23" t="s">
        <v>269</v>
      </c>
      <c r="H181" s="270"/>
      <c r="I181" s="270"/>
      <c r="J181" s="282">
        <f t="shared" ref="J181:Y181" si="40">hundred * $H18 * J55 / $H43 * J93 * (1 - J67) / hours_in_year</f>
        <v>0</v>
      </c>
      <c r="K181" s="282">
        <f t="shared" si="40"/>
        <v>0</v>
      </c>
      <c r="L181" s="282">
        <f t="shared" si="40"/>
        <v>0</v>
      </c>
      <c r="M181" s="282">
        <f t="shared" si="40"/>
        <v>0</v>
      </c>
      <c r="N181" s="282">
        <f t="shared" si="40"/>
        <v>0</v>
      </c>
      <c r="O181" s="282">
        <f t="shared" si="40"/>
        <v>0</v>
      </c>
      <c r="P181" s="282">
        <f t="shared" si="40"/>
        <v>0</v>
      </c>
      <c r="Q181" s="282">
        <f t="shared" si="40"/>
        <v>0</v>
      </c>
      <c r="R181" s="282">
        <f t="shared" si="40"/>
        <v>0</v>
      </c>
      <c r="S181" s="282">
        <f t="shared" si="40"/>
        <v>0</v>
      </c>
      <c r="T181" s="282">
        <f t="shared" si="40"/>
        <v>0</v>
      </c>
      <c r="U181" s="282">
        <f t="shared" si="40"/>
        <v>0</v>
      </c>
      <c r="V181" s="282">
        <f t="shared" si="40"/>
        <v>0</v>
      </c>
      <c r="W181" s="282">
        <f t="shared" si="40"/>
        <v>0</v>
      </c>
      <c r="X181" s="282">
        <f t="shared" si="40"/>
        <v>0</v>
      </c>
      <c r="Y181" s="282">
        <f t="shared" si="40"/>
        <v>0</v>
      </c>
      <c r="Z181" s="272"/>
      <c r="AA181" s="272"/>
    </row>
    <row r="182" spans="4:27" x14ac:dyDescent="0.25">
      <c r="E182" s="32"/>
      <c r="F182" s="191" t="s">
        <v>191</v>
      </c>
      <c r="G182" t="s">
        <v>269</v>
      </c>
      <c r="H182" s="272"/>
      <c r="I182" s="272"/>
      <c r="J182" s="283">
        <f t="shared" ref="J182:Y182" si="41">hundred * $H19 * J56 / $H44 * J94 * (1 - J68) / hours_in_year</f>
        <v>0</v>
      </c>
      <c r="K182" s="283">
        <f t="shared" si="41"/>
        <v>0</v>
      </c>
      <c r="L182" s="283">
        <f t="shared" si="41"/>
        <v>0</v>
      </c>
      <c r="M182" s="283">
        <f t="shared" si="41"/>
        <v>0</v>
      </c>
      <c r="N182" s="283">
        <f t="shared" si="41"/>
        <v>0</v>
      </c>
      <c r="O182" s="283">
        <f t="shared" si="41"/>
        <v>0</v>
      </c>
      <c r="P182" s="283">
        <f t="shared" si="41"/>
        <v>0</v>
      </c>
      <c r="Q182" s="283">
        <f t="shared" si="41"/>
        <v>0</v>
      </c>
      <c r="R182" s="283">
        <f t="shared" si="41"/>
        <v>0</v>
      </c>
      <c r="S182" s="283">
        <f t="shared" si="41"/>
        <v>0</v>
      </c>
      <c r="T182" s="283">
        <f t="shared" si="41"/>
        <v>0</v>
      </c>
      <c r="U182" s="283">
        <f t="shared" si="41"/>
        <v>0</v>
      </c>
      <c r="V182" s="283">
        <f t="shared" si="41"/>
        <v>0</v>
      </c>
      <c r="W182" s="283">
        <f t="shared" si="41"/>
        <v>0</v>
      </c>
      <c r="X182" s="283">
        <f t="shared" si="41"/>
        <v>0</v>
      </c>
      <c r="Y182" s="283">
        <f t="shared" si="41"/>
        <v>0</v>
      </c>
      <c r="Z182" s="272"/>
      <c r="AA182" s="272"/>
    </row>
    <row r="183" spans="4:27" x14ac:dyDescent="0.25">
      <c r="E183" s="32"/>
      <c r="F183" s="191" t="s">
        <v>192</v>
      </c>
      <c r="G183" t="s">
        <v>269</v>
      </c>
      <c r="H183" s="272"/>
      <c r="I183" s="272"/>
      <c r="J183" s="283">
        <f t="shared" ref="J183:Y183" si="42">hundred * $H20 * J57 / $H45 * J95 * (1 - J69) / hours_in_year</f>
        <v>0</v>
      </c>
      <c r="K183" s="283">
        <f t="shared" si="42"/>
        <v>0</v>
      </c>
      <c r="L183" s="283">
        <f t="shared" si="42"/>
        <v>0</v>
      </c>
      <c r="M183" s="283">
        <f t="shared" si="42"/>
        <v>0</v>
      </c>
      <c r="N183" s="283">
        <f t="shared" si="42"/>
        <v>0</v>
      </c>
      <c r="O183" s="283">
        <f t="shared" si="42"/>
        <v>0</v>
      </c>
      <c r="P183" s="283">
        <f t="shared" si="42"/>
        <v>0</v>
      </c>
      <c r="Q183" s="283">
        <f t="shared" si="42"/>
        <v>0</v>
      </c>
      <c r="R183" s="283">
        <f t="shared" si="42"/>
        <v>0</v>
      </c>
      <c r="S183" s="283">
        <f t="shared" si="42"/>
        <v>0</v>
      </c>
      <c r="T183" s="283">
        <f t="shared" si="42"/>
        <v>0</v>
      </c>
      <c r="U183" s="283">
        <f t="shared" si="42"/>
        <v>0</v>
      </c>
      <c r="V183" s="283">
        <f t="shared" si="42"/>
        <v>0</v>
      </c>
      <c r="W183" s="283">
        <f t="shared" si="42"/>
        <v>0</v>
      </c>
      <c r="X183" s="283">
        <f t="shared" si="42"/>
        <v>0</v>
      </c>
      <c r="Y183" s="283">
        <f t="shared" si="42"/>
        <v>0</v>
      </c>
      <c r="Z183" s="272"/>
      <c r="AA183" s="272"/>
    </row>
    <row r="184" spans="4:27" x14ac:dyDescent="0.25">
      <c r="E184" s="32"/>
      <c r="F184" s="191" t="s">
        <v>193</v>
      </c>
      <c r="G184" t="s">
        <v>269</v>
      </c>
      <c r="H184" s="272"/>
      <c r="I184" s="272"/>
      <c r="J184" s="283">
        <f t="shared" ref="J184:Y184" si="43">hundred * $H21 * J58 / $H46 * J96 * (1 - J70) / hours_in_year</f>
        <v>0</v>
      </c>
      <c r="K184" s="283">
        <f t="shared" si="43"/>
        <v>0</v>
      </c>
      <c r="L184" s="283">
        <f t="shared" si="43"/>
        <v>0</v>
      </c>
      <c r="M184" s="283">
        <f t="shared" si="43"/>
        <v>0</v>
      </c>
      <c r="N184" s="283">
        <f t="shared" si="43"/>
        <v>0</v>
      </c>
      <c r="O184" s="283">
        <f t="shared" si="43"/>
        <v>0</v>
      </c>
      <c r="P184" s="283">
        <f t="shared" si="43"/>
        <v>0</v>
      </c>
      <c r="Q184" s="283">
        <f t="shared" si="43"/>
        <v>0</v>
      </c>
      <c r="R184" s="283">
        <f t="shared" si="43"/>
        <v>0</v>
      </c>
      <c r="S184" s="283">
        <f t="shared" si="43"/>
        <v>0</v>
      </c>
      <c r="T184" s="283">
        <f t="shared" si="43"/>
        <v>0</v>
      </c>
      <c r="U184" s="283">
        <f t="shared" si="43"/>
        <v>0</v>
      </c>
      <c r="V184" s="283">
        <f t="shared" si="43"/>
        <v>0</v>
      </c>
      <c r="W184" s="283">
        <f t="shared" si="43"/>
        <v>0</v>
      </c>
      <c r="X184" s="283">
        <f t="shared" si="43"/>
        <v>0</v>
      </c>
      <c r="Y184" s="283">
        <f t="shared" si="43"/>
        <v>0</v>
      </c>
      <c r="Z184" s="272"/>
      <c r="AA184" s="272"/>
    </row>
    <row r="185" spans="4:27" x14ac:dyDescent="0.25">
      <c r="E185" s="32"/>
      <c r="F185" s="191" t="s">
        <v>194</v>
      </c>
      <c r="G185" t="s">
        <v>269</v>
      </c>
      <c r="H185" s="272"/>
      <c r="I185" s="272"/>
      <c r="J185" s="283">
        <f t="shared" ref="J185:Y185" si="44">hundred * $H22 * J59 / $H47 * J97 * (1 - J71) / hours_in_year</f>
        <v>0.12072745659257347</v>
      </c>
      <c r="K185" s="283">
        <f t="shared" si="44"/>
        <v>0.12072745659257347</v>
      </c>
      <c r="L185" s="283">
        <f t="shared" si="44"/>
        <v>0.12607501549083155</v>
      </c>
      <c r="M185" s="283">
        <f t="shared" si="44"/>
        <v>0.12607501549083155</v>
      </c>
      <c r="N185" s="283">
        <f t="shared" si="44"/>
        <v>0.11247785881848696</v>
      </c>
      <c r="O185" s="283">
        <f t="shared" si="44"/>
        <v>9.2760445205198452E-2</v>
      </c>
      <c r="P185" s="283">
        <f t="shared" si="44"/>
        <v>9.2411166818371818E-2</v>
      </c>
      <c r="Q185" s="283">
        <f t="shared" si="44"/>
        <v>0.11483891619607868</v>
      </c>
      <c r="R185" s="283">
        <f t="shared" si="44"/>
        <v>-8.6547601161413967E-2</v>
      </c>
      <c r="S185" s="283">
        <f t="shared" si="44"/>
        <v>-8.3855361052092764E-2</v>
      </c>
      <c r="T185" s="283">
        <f t="shared" si="44"/>
        <v>-8.6547601161413967E-2</v>
      </c>
      <c r="U185" s="283">
        <f t="shared" si="44"/>
        <v>-8.6547601161413967E-2</v>
      </c>
      <c r="V185" s="283">
        <f t="shared" si="44"/>
        <v>-8.3855361052092764E-2</v>
      </c>
      <c r="W185" s="283">
        <f t="shared" si="44"/>
        <v>-8.3855361052092764E-2</v>
      </c>
      <c r="X185" s="283">
        <f t="shared" si="44"/>
        <v>-8.1599512704915347E-2</v>
      </c>
      <c r="Y185" s="283">
        <f t="shared" si="44"/>
        <v>-8.1599512704915347E-2</v>
      </c>
      <c r="Z185" s="272"/>
      <c r="AA185" s="272"/>
    </row>
    <row r="186" spans="4:27" x14ac:dyDescent="0.25">
      <c r="E186" s="32"/>
      <c r="F186" s="191" t="s">
        <v>195</v>
      </c>
      <c r="G186" t="s">
        <v>269</v>
      </c>
      <c r="H186" s="272"/>
      <c r="I186" s="272"/>
      <c r="J186" s="283">
        <f t="shared" ref="J186:Y186" si="45">hundred * $H23 * J60 / $H48 * J98 * (1 - J72) / hours_in_year</f>
        <v>0.10948355508393108</v>
      </c>
      <c r="K186" s="283">
        <f t="shared" si="45"/>
        <v>0.10948355508393108</v>
      </c>
      <c r="L186" s="283">
        <f t="shared" si="45"/>
        <v>0.11433307130605962</v>
      </c>
      <c r="M186" s="283">
        <f t="shared" si="45"/>
        <v>0.11433307130605962</v>
      </c>
      <c r="N186" s="283">
        <f t="shared" si="45"/>
        <v>0.1020022801709049</v>
      </c>
      <c r="O186" s="283">
        <f t="shared" si="45"/>
        <v>8.4121239682092702E-2</v>
      </c>
      <c r="P186" s="283">
        <f t="shared" si="45"/>
        <v>8.3962786543950479E-2</v>
      </c>
      <c r="Q186" s="283">
        <f t="shared" si="45"/>
        <v>0.10414344145063144</v>
      </c>
      <c r="R186" s="283">
        <f t="shared" si="45"/>
        <v>-7.8487026286948633E-2</v>
      </c>
      <c r="S186" s="283">
        <f t="shared" si="45"/>
        <v>-7.6045526841608965E-2</v>
      </c>
      <c r="T186" s="283">
        <f t="shared" si="45"/>
        <v>-7.8487026286948633E-2</v>
      </c>
      <c r="U186" s="283">
        <f t="shared" si="45"/>
        <v>-7.8487026286948633E-2</v>
      </c>
      <c r="V186" s="283">
        <f t="shared" si="45"/>
        <v>-7.6045526841608965E-2</v>
      </c>
      <c r="W186" s="283">
        <f t="shared" si="45"/>
        <v>-7.6045526841608965E-2</v>
      </c>
      <c r="X186" s="283">
        <f t="shared" si="45"/>
        <v>-7.4139551563059611E-2</v>
      </c>
      <c r="Y186" s="283">
        <f t="shared" si="45"/>
        <v>-7.4139551563059611E-2</v>
      </c>
      <c r="Z186" s="272"/>
      <c r="AA186" s="272"/>
    </row>
    <row r="187" spans="4:27" x14ac:dyDescent="0.25">
      <c r="E187" s="32"/>
      <c r="F187" s="191" t="s">
        <v>196</v>
      </c>
      <c r="G187" t="s">
        <v>269</v>
      </c>
      <c r="H187" s="272"/>
      <c r="I187" s="272"/>
      <c r="J187" s="283">
        <f t="shared" ref="J187:Y187" si="46">hundred * $H24 * J61 / $H49 * J99 * (1 - J73) / hours_in_year</f>
        <v>0</v>
      </c>
      <c r="K187" s="283">
        <f t="shared" si="46"/>
        <v>0</v>
      </c>
      <c r="L187" s="283">
        <f t="shared" si="46"/>
        <v>0</v>
      </c>
      <c r="M187" s="283">
        <f t="shared" si="46"/>
        <v>0</v>
      </c>
      <c r="N187" s="283">
        <f t="shared" si="46"/>
        <v>0</v>
      </c>
      <c r="O187" s="283">
        <f t="shared" si="46"/>
        <v>0</v>
      </c>
      <c r="P187" s="283">
        <f t="shared" si="46"/>
        <v>0</v>
      </c>
      <c r="Q187" s="283">
        <f t="shared" si="46"/>
        <v>0</v>
      </c>
      <c r="R187" s="283">
        <f t="shared" si="46"/>
        <v>0</v>
      </c>
      <c r="S187" s="283">
        <f t="shared" si="46"/>
        <v>0</v>
      </c>
      <c r="T187" s="283">
        <f t="shared" si="46"/>
        <v>0</v>
      </c>
      <c r="U187" s="283">
        <f t="shared" si="46"/>
        <v>0</v>
      </c>
      <c r="V187" s="283">
        <f t="shared" si="46"/>
        <v>0</v>
      </c>
      <c r="W187" s="283">
        <f t="shared" si="46"/>
        <v>0</v>
      </c>
      <c r="X187" s="283">
        <f t="shared" si="46"/>
        <v>0</v>
      </c>
      <c r="Y187" s="283">
        <f t="shared" si="46"/>
        <v>0</v>
      </c>
      <c r="Z187" s="272"/>
      <c r="AA187" s="272"/>
    </row>
    <row r="188" spans="4:27" x14ac:dyDescent="0.25">
      <c r="E188" s="32"/>
      <c r="F188" s="191" t="s">
        <v>197</v>
      </c>
      <c r="G188" t="s">
        <v>269</v>
      </c>
      <c r="H188" s="272"/>
      <c r="I188" s="272"/>
      <c r="J188" s="283">
        <f t="shared" ref="J188:Y188" si="47">hundred * $H25 * J62 / $H50 * J100 * (1 - J74) / hours_in_year</f>
        <v>0.26112345759518357</v>
      </c>
      <c r="K188" s="283">
        <f t="shared" si="47"/>
        <v>0.26112345759518357</v>
      </c>
      <c r="L188" s="283">
        <f t="shared" si="47"/>
        <v>0.27268978317362641</v>
      </c>
      <c r="M188" s="283">
        <f t="shared" si="47"/>
        <v>0.27268978317362641</v>
      </c>
      <c r="N188" s="283">
        <f t="shared" si="47"/>
        <v>0.24328026305320963</v>
      </c>
      <c r="O188" s="283">
        <f t="shared" si="47"/>
        <v>0.20063313569002994</v>
      </c>
      <c r="P188" s="283">
        <f t="shared" si="47"/>
        <v>0.21361706101703673</v>
      </c>
      <c r="Q188" s="283">
        <f t="shared" si="47"/>
        <v>0.2483870339851775</v>
      </c>
      <c r="R188" s="283">
        <f t="shared" si="47"/>
        <v>-0.18719527023670895</v>
      </c>
      <c r="S188" s="283">
        <f t="shared" si="47"/>
        <v>-0.181372178573353</v>
      </c>
      <c r="T188" s="283">
        <f t="shared" si="47"/>
        <v>-0.18719527023670895</v>
      </c>
      <c r="U188" s="283">
        <f t="shared" si="47"/>
        <v>-0.18719527023670895</v>
      </c>
      <c r="V188" s="283">
        <f t="shared" si="47"/>
        <v>-0.181372178573353</v>
      </c>
      <c r="W188" s="283">
        <f t="shared" si="47"/>
        <v>-0.181372178573353</v>
      </c>
      <c r="X188" s="283">
        <f t="shared" si="47"/>
        <v>0</v>
      </c>
      <c r="Y188" s="283">
        <f t="shared" si="47"/>
        <v>0</v>
      </c>
      <c r="Z188" s="272"/>
      <c r="AA188" s="272"/>
    </row>
    <row r="189" spans="4:27" x14ac:dyDescent="0.25">
      <c r="E189" s="32"/>
      <c r="F189" s="191" t="s">
        <v>198</v>
      </c>
      <c r="G189" t="s">
        <v>269</v>
      </c>
      <c r="H189" s="272"/>
      <c r="I189" s="272"/>
      <c r="J189" s="283">
        <f t="shared" ref="J189:Y189" si="48">hundred * $H26 * J63 / $H51 * J101 * (1 - J75) / hours_in_year</f>
        <v>2.391534025482633E-2</v>
      </c>
      <c r="K189" s="283">
        <f t="shared" si="48"/>
        <v>2.391534025482633E-2</v>
      </c>
      <c r="L189" s="283">
        <f t="shared" si="48"/>
        <v>2.4974657614722014E-2</v>
      </c>
      <c r="M189" s="283">
        <f t="shared" si="48"/>
        <v>2.4974657614722014E-2</v>
      </c>
      <c r="N189" s="283">
        <f t="shared" si="48"/>
        <v>2.2281147476305774E-2</v>
      </c>
      <c r="O189" s="283">
        <f t="shared" si="48"/>
        <v>1.8375253416942759E-2</v>
      </c>
      <c r="P189" s="283">
        <f t="shared" si="48"/>
        <v>0</v>
      </c>
      <c r="Q189" s="283">
        <f t="shared" si="48"/>
        <v>2.2748857905564888E-2</v>
      </c>
      <c r="R189" s="283">
        <f t="shared" si="48"/>
        <v>-1.7144528580597479E-2</v>
      </c>
      <c r="S189" s="283">
        <f t="shared" si="48"/>
        <v>0</v>
      </c>
      <c r="T189" s="283">
        <f t="shared" si="48"/>
        <v>-1.7144528580597479E-2</v>
      </c>
      <c r="U189" s="283">
        <f t="shared" si="48"/>
        <v>-1.7144528580597479E-2</v>
      </c>
      <c r="V189" s="283">
        <f t="shared" si="48"/>
        <v>0</v>
      </c>
      <c r="W189" s="283">
        <f t="shared" si="48"/>
        <v>0</v>
      </c>
      <c r="X189" s="283">
        <f t="shared" si="48"/>
        <v>0</v>
      </c>
      <c r="Y189" s="283">
        <f t="shared" si="48"/>
        <v>0</v>
      </c>
      <c r="Z189" s="272"/>
      <c r="AA189" s="272"/>
    </row>
    <row r="190" spans="4:27" x14ac:dyDescent="0.25">
      <c r="E190" s="32"/>
      <c r="F190" s="192" t="s">
        <v>199</v>
      </c>
      <c r="G190" s="37" t="s">
        <v>269</v>
      </c>
      <c r="H190" s="276"/>
      <c r="I190" s="276"/>
      <c r="J190" s="284">
        <f t="shared" ref="J190:Y190" si="49">hundred * $H27 * J64 / $H52 * J102 * (1 - J76) / hours_in_year</f>
        <v>8.6850634814805965E-3</v>
      </c>
      <c r="K190" s="284">
        <f t="shared" si="49"/>
        <v>8.6850634814805965E-3</v>
      </c>
      <c r="L190" s="284">
        <f t="shared" si="49"/>
        <v>9.0697637792684031E-3</v>
      </c>
      <c r="M190" s="284">
        <f t="shared" si="49"/>
        <v>9.0697637792684031E-3</v>
      </c>
      <c r="N190" s="284">
        <f t="shared" si="49"/>
        <v>8.0915921835105035E-3</v>
      </c>
      <c r="O190" s="284">
        <f t="shared" si="49"/>
        <v>0</v>
      </c>
      <c r="P190" s="284">
        <f t="shared" si="49"/>
        <v>0</v>
      </c>
      <c r="Q190" s="284">
        <f t="shared" si="49"/>
        <v>8.2614452872415371E-3</v>
      </c>
      <c r="R190" s="284">
        <f t="shared" si="49"/>
        <v>0</v>
      </c>
      <c r="S190" s="284">
        <f t="shared" si="49"/>
        <v>0</v>
      </c>
      <c r="T190" s="284">
        <f t="shared" si="49"/>
        <v>0</v>
      </c>
      <c r="U190" s="284">
        <f t="shared" si="49"/>
        <v>0</v>
      </c>
      <c r="V190" s="284">
        <f t="shared" si="49"/>
        <v>0</v>
      </c>
      <c r="W190" s="284">
        <f t="shared" si="49"/>
        <v>0</v>
      </c>
      <c r="X190" s="284">
        <f t="shared" si="49"/>
        <v>0</v>
      </c>
      <c r="Y190" s="284">
        <f t="shared" si="49"/>
        <v>0</v>
      </c>
      <c r="Z190" s="272"/>
      <c r="AA190" s="272"/>
    </row>
    <row r="191" spans="4:27" x14ac:dyDescent="0.25">
      <c r="E191" s="32"/>
      <c r="F191" s="191"/>
      <c r="J191" s="163"/>
      <c r="K191" s="163"/>
      <c r="L191" s="163"/>
      <c r="M191" s="163"/>
      <c r="N191" s="163"/>
      <c r="O191" s="163"/>
      <c r="P191" s="163"/>
      <c r="Q191" s="163"/>
      <c r="R191" s="163"/>
      <c r="S191" s="163"/>
      <c r="T191" s="163"/>
      <c r="U191" s="163"/>
      <c r="V191" s="163"/>
      <c r="W191" s="163"/>
      <c r="X191" s="163"/>
      <c r="Y191" s="163"/>
    </row>
    <row r="192" spans="4:27" x14ac:dyDescent="0.25">
      <c r="E192" s="32" t="s">
        <v>622</v>
      </c>
      <c r="J192" s="163"/>
      <c r="K192" s="163"/>
      <c r="L192" s="163"/>
      <c r="M192" s="163"/>
      <c r="N192" s="163"/>
      <c r="O192" s="163"/>
      <c r="P192" s="163"/>
      <c r="Q192" s="163"/>
      <c r="R192" s="163"/>
      <c r="S192" s="163"/>
      <c r="T192" s="163"/>
      <c r="U192" s="163"/>
      <c r="V192" s="163"/>
      <c r="W192" s="163"/>
      <c r="X192" s="163"/>
      <c r="Y192" s="163"/>
    </row>
    <row r="193" spans="3:27" x14ac:dyDescent="0.25">
      <c r="D193" s="32"/>
      <c r="E193" s="32"/>
      <c r="F193" s="190" t="s">
        <v>189</v>
      </c>
      <c r="G193" s="23" t="s">
        <v>269</v>
      </c>
      <c r="H193" s="270"/>
      <c r="I193" s="270"/>
      <c r="J193" s="282">
        <f t="shared" ref="J193:Y193" si="50">hundred * $H30 * J55 / $H43 * J93 / hours_in_year</f>
        <v>0.33625450336710122</v>
      </c>
      <c r="K193" s="282">
        <f t="shared" si="50"/>
        <v>0.33625450336710122</v>
      </c>
      <c r="L193" s="282">
        <f t="shared" si="50"/>
        <v>0.35114871891931315</v>
      </c>
      <c r="M193" s="282">
        <f t="shared" si="50"/>
        <v>0.35114871891931315</v>
      </c>
      <c r="N193" s="282">
        <f t="shared" si="50"/>
        <v>0.31327742358097371</v>
      </c>
      <c r="O193" s="282">
        <f t="shared" si="50"/>
        <v>0.25835976599629551</v>
      </c>
      <c r="P193" s="282">
        <f t="shared" si="50"/>
        <v>0.25875787459802208</v>
      </c>
      <c r="Q193" s="282">
        <f t="shared" si="50"/>
        <v>0.30390123569151317</v>
      </c>
      <c r="R193" s="282">
        <f t="shared" si="50"/>
        <v>-0.24105552678341946</v>
      </c>
      <c r="S193" s="282">
        <f t="shared" si="50"/>
        <v>-0.23355700170506971</v>
      </c>
      <c r="T193" s="282">
        <f t="shared" si="50"/>
        <v>-0.24105552678341946</v>
      </c>
      <c r="U193" s="282">
        <f t="shared" si="50"/>
        <v>-0.24105552678341946</v>
      </c>
      <c r="V193" s="282">
        <f t="shared" si="50"/>
        <v>-0.23355700170506971</v>
      </c>
      <c r="W193" s="282">
        <f t="shared" si="50"/>
        <v>-0.23355700170506971</v>
      </c>
      <c r="X193" s="282">
        <f t="shared" si="50"/>
        <v>-0.22848447003442138</v>
      </c>
      <c r="Y193" s="282">
        <f t="shared" si="50"/>
        <v>-0.22848447003442138</v>
      </c>
      <c r="Z193" s="272"/>
      <c r="AA193" s="272"/>
    </row>
    <row r="194" spans="3:27" x14ac:dyDescent="0.25">
      <c r="D194" s="32"/>
      <c r="E194" s="32"/>
      <c r="F194" s="191" t="s">
        <v>191</v>
      </c>
      <c r="G194" t="s">
        <v>269</v>
      </c>
      <c r="H194" s="272"/>
      <c r="I194" s="272"/>
      <c r="J194" s="283">
        <f t="shared" ref="J194:Y194" si="51">hundred * $H31 * J56 / $H44 * J94 / hours_in_year</f>
        <v>0</v>
      </c>
      <c r="K194" s="283">
        <f t="shared" si="51"/>
        <v>0</v>
      </c>
      <c r="L194" s="283">
        <f t="shared" si="51"/>
        <v>0</v>
      </c>
      <c r="M194" s="283">
        <f t="shared" si="51"/>
        <v>0</v>
      </c>
      <c r="N194" s="283">
        <f t="shared" si="51"/>
        <v>0</v>
      </c>
      <c r="O194" s="283">
        <f t="shared" si="51"/>
        <v>0</v>
      </c>
      <c r="P194" s="283">
        <f t="shared" si="51"/>
        <v>0</v>
      </c>
      <c r="Q194" s="283">
        <f t="shared" si="51"/>
        <v>0</v>
      </c>
      <c r="R194" s="283">
        <f t="shared" si="51"/>
        <v>0</v>
      </c>
      <c r="S194" s="283">
        <f t="shared" si="51"/>
        <v>0</v>
      </c>
      <c r="T194" s="283">
        <f t="shared" si="51"/>
        <v>0</v>
      </c>
      <c r="U194" s="283">
        <f t="shared" si="51"/>
        <v>0</v>
      </c>
      <c r="V194" s="283">
        <f t="shared" si="51"/>
        <v>0</v>
      </c>
      <c r="W194" s="283">
        <f t="shared" si="51"/>
        <v>0</v>
      </c>
      <c r="X194" s="283">
        <f t="shared" si="51"/>
        <v>0</v>
      </c>
      <c r="Y194" s="283">
        <f t="shared" si="51"/>
        <v>0</v>
      </c>
      <c r="Z194" s="272"/>
      <c r="AA194" s="272"/>
    </row>
    <row r="195" spans="3:27" x14ac:dyDescent="0.25">
      <c r="D195" s="32"/>
      <c r="E195" s="32"/>
      <c r="F195" s="191" t="s">
        <v>192</v>
      </c>
      <c r="G195" t="s">
        <v>269</v>
      </c>
      <c r="H195" s="272"/>
      <c r="I195" s="272"/>
      <c r="J195" s="283">
        <f t="shared" ref="J195:Y195" si="52">hundred * $H32 * J57 / $H45 * J95 / hours_in_year</f>
        <v>0</v>
      </c>
      <c r="K195" s="283">
        <f t="shared" si="52"/>
        <v>0</v>
      </c>
      <c r="L195" s="283">
        <f t="shared" si="52"/>
        <v>0</v>
      </c>
      <c r="M195" s="283">
        <f t="shared" si="52"/>
        <v>0</v>
      </c>
      <c r="N195" s="283">
        <f t="shared" si="52"/>
        <v>0</v>
      </c>
      <c r="O195" s="283">
        <f t="shared" si="52"/>
        <v>0</v>
      </c>
      <c r="P195" s="283">
        <f t="shared" si="52"/>
        <v>0</v>
      </c>
      <c r="Q195" s="283">
        <f t="shared" si="52"/>
        <v>0</v>
      </c>
      <c r="R195" s="283">
        <f t="shared" si="52"/>
        <v>0</v>
      </c>
      <c r="S195" s="283">
        <f t="shared" si="52"/>
        <v>0</v>
      </c>
      <c r="T195" s="283">
        <f t="shared" si="52"/>
        <v>0</v>
      </c>
      <c r="U195" s="283">
        <f t="shared" si="52"/>
        <v>0</v>
      </c>
      <c r="V195" s="283">
        <f t="shared" si="52"/>
        <v>0</v>
      </c>
      <c r="W195" s="283">
        <f t="shared" si="52"/>
        <v>0</v>
      </c>
      <c r="X195" s="283">
        <f t="shared" si="52"/>
        <v>0</v>
      </c>
      <c r="Y195" s="283">
        <f t="shared" si="52"/>
        <v>0</v>
      </c>
      <c r="Z195" s="272"/>
      <c r="AA195" s="272"/>
    </row>
    <row r="196" spans="3:27" x14ac:dyDescent="0.25">
      <c r="D196" s="32"/>
      <c r="E196" s="32"/>
      <c r="F196" s="191" t="s">
        <v>193</v>
      </c>
      <c r="G196" t="s">
        <v>269</v>
      </c>
      <c r="H196" s="272"/>
      <c r="I196" s="272"/>
      <c r="J196" s="283">
        <f t="shared" ref="J196:Y196" si="53">hundred * $H33 * J58 / $H46 * J96 / hours_in_year</f>
        <v>0</v>
      </c>
      <c r="K196" s="283">
        <f t="shared" si="53"/>
        <v>0</v>
      </c>
      <c r="L196" s="283">
        <f t="shared" si="53"/>
        <v>0</v>
      </c>
      <c r="M196" s="283">
        <f t="shared" si="53"/>
        <v>0</v>
      </c>
      <c r="N196" s="283">
        <f t="shared" si="53"/>
        <v>0</v>
      </c>
      <c r="O196" s="283">
        <f t="shared" si="53"/>
        <v>0</v>
      </c>
      <c r="P196" s="283">
        <f t="shared" si="53"/>
        <v>0</v>
      </c>
      <c r="Q196" s="283">
        <f t="shared" si="53"/>
        <v>0</v>
      </c>
      <c r="R196" s="283">
        <f t="shared" si="53"/>
        <v>0</v>
      </c>
      <c r="S196" s="283">
        <f t="shared" si="53"/>
        <v>0</v>
      </c>
      <c r="T196" s="283">
        <f t="shared" si="53"/>
        <v>0</v>
      </c>
      <c r="U196" s="283">
        <f t="shared" si="53"/>
        <v>0</v>
      </c>
      <c r="V196" s="283">
        <f t="shared" si="53"/>
        <v>0</v>
      </c>
      <c r="W196" s="283">
        <f t="shared" si="53"/>
        <v>0</v>
      </c>
      <c r="X196" s="283">
        <f t="shared" si="53"/>
        <v>0</v>
      </c>
      <c r="Y196" s="283">
        <f t="shared" si="53"/>
        <v>0</v>
      </c>
      <c r="Z196" s="272"/>
      <c r="AA196" s="272"/>
    </row>
    <row r="197" spans="3:27" x14ac:dyDescent="0.25">
      <c r="D197" s="32"/>
      <c r="E197" s="32"/>
      <c r="F197" s="191" t="s">
        <v>194</v>
      </c>
      <c r="G197" t="s">
        <v>269</v>
      </c>
      <c r="H197" s="272"/>
      <c r="I197" s="272"/>
      <c r="J197" s="283">
        <f t="shared" ref="J197:Y197" si="54">hundred * $H34 * J59 / $H47 * J97 / hours_in_year</f>
        <v>0.10220042542336927</v>
      </c>
      <c r="K197" s="283">
        <f t="shared" si="54"/>
        <v>0.10220042542336927</v>
      </c>
      <c r="L197" s="283">
        <f t="shared" si="54"/>
        <v>0.10672733926553594</v>
      </c>
      <c r="M197" s="283">
        <f t="shared" si="54"/>
        <v>0.10672733926553594</v>
      </c>
      <c r="N197" s="283">
        <f t="shared" si="54"/>
        <v>9.5216824295014282E-2</v>
      </c>
      <c r="O197" s="283">
        <f t="shared" si="54"/>
        <v>7.8525276933694516E-2</v>
      </c>
      <c r="P197" s="283">
        <f t="shared" si="54"/>
        <v>7.864627715243877E-2</v>
      </c>
      <c r="Q197" s="283">
        <f t="shared" si="54"/>
        <v>9.7215549980532459E-2</v>
      </c>
      <c r="R197" s="283">
        <f t="shared" si="54"/>
        <v>-7.3265866006927083E-2</v>
      </c>
      <c r="S197" s="283">
        <f t="shared" si="54"/>
        <v>-7.0986781428486537E-2</v>
      </c>
      <c r="T197" s="283">
        <f t="shared" si="54"/>
        <v>-7.3265866006927083E-2</v>
      </c>
      <c r="U197" s="283">
        <f t="shared" si="54"/>
        <v>-7.3265866006927083E-2</v>
      </c>
      <c r="V197" s="283">
        <f t="shared" si="54"/>
        <v>-7.0986781428486537E-2</v>
      </c>
      <c r="W197" s="283">
        <f t="shared" si="54"/>
        <v>-7.0986781428486537E-2</v>
      </c>
      <c r="X197" s="283">
        <f t="shared" si="54"/>
        <v>-6.9445047743070892E-2</v>
      </c>
      <c r="Y197" s="283">
        <f t="shared" si="54"/>
        <v>-6.9445047743070892E-2</v>
      </c>
      <c r="Z197" s="272"/>
      <c r="AA197" s="272"/>
    </row>
    <row r="198" spans="3:27" x14ac:dyDescent="0.25">
      <c r="D198" s="32"/>
      <c r="E198" s="32"/>
      <c r="F198" s="191" t="s">
        <v>195</v>
      </c>
      <c r="G198" t="s">
        <v>269</v>
      </c>
      <c r="H198" s="272"/>
      <c r="I198" s="272"/>
      <c r="J198" s="283">
        <f t="shared" ref="J198:Y198" si="55">hundred * $H35 * J60 / $H48 * J98 / hours_in_year</f>
        <v>9.2470567323909306E-2</v>
      </c>
      <c r="K198" s="283">
        <f t="shared" si="55"/>
        <v>9.2470567323909306E-2</v>
      </c>
      <c r="L198" s="283">
        <f t="shared" si="55"/>
        <v>9.6566502242746668E-2</v>
      </c>
      <c r="M198" s="283">
        <f t="shared" si="55"/>
        <v>9.6566502242746668E-2</v>
      </c>
      <c r="N198" s="283">
        <f t="shared" si="55"/>
        <v>8.6151830825233117E-2</v>
      </c>
      <c r="O198" s="283">
        <f t="shared" si="55"/>
        <v>7.1049380442847462E-2</v>
      </c>
      <c r="P198" s="283">
        <f t="shared" si="55"/>
        <v>7.115886099370862E-2</v>
      </c>
      <c r="Q198" s="283">
        <f t="shared" si="55"/>
        <v>8.7960270440812977E-2</v>
      </c>
      <c r="R198" s="283">
        <f t="shared" si="55"/>
        <v>-6.6290684868214905E-2</v>
      </c>
      <c r="S198" s="283">
        <f t="shared" si="55"/>
        <v>-6.4228577562158815E-2</v>
      </c>
      <c r="T198" s="283">
        <f t="shared" si="55"/>
        <v>-6.6290684868214905E-2</v>
      </c>
      <c r="U198" s="283">
        <f t="shared" si="55"/>
        <v>-6.6290684868214905E-2</v>
      </c>
      <c r="V198" s="283">
        <f t="shared" si="55"/>
        <v>-6.4228577562158815E-2</v>
      </c>
      <c r="W198" s="283">
        <f t="shared" si="55"/>
        <v>-6.4228577562158815E-2</v>
      </c>
      <c r="X198" s="283">
        <f t="shared" si="55"/>
        <v>-6.2833622619826751E-2</v>
      </c>
      <c r="Y198" s="283">
        <f t="shared" si="55"/>
        <v>-6.2833622619826751E-2</v>
      </c>
      <c r="Z198" s="272"/>
      <c r="AA198" s="272"/>
    </row>
    <row r="199" spans="3:27" x14ac:dyDescent="0.25">
      <c r="D199" s="32"/>
      <c r="E199" s="32"/>
      <c r="F199" s="191" t="s">
        <v>196</v>
      </c>
      <c r="G199" t="s">
        <v>269</v>
      </c>
      <c r="H199" s="272"/>
      <c r="I199" s="272"/>
      <c r="J199" s="283">
        <f t="shared" ref="J199:Y199" si="56">hundred * $H36 * J61 / $H49 * J99 / hours_in_year</f>
        <v>0</v>
      </c>
      <c r="K199" s="283">
        <f t="shared" si="56"/>
        <v>0</v>
      </c>
      <c r="L199" s="283">
        <f t="shared" si="56"/>
        <v>0</v>
      </c>
      <c r="M199" s="283">
        <f t="shared" si="56"/>
        <v>0</v>
      </c>
      <c r="N199" s="283">
        <f t="shared" si="56"/>
        <v>0</v>
      </c>
      <c r="O199" s="283">
        <f t="shared" si="56"/>
        <v>0</v>
      </c>
      <c r="P199" s="283">
        <f t="shared" si="56"/>
        <v>0</v>
      </c>
      <c r="Q199" s="283">
        <f t="shared" si="56"/>
        <v>0</v>
      </c>
      <c r="R199" s="283">
        <f t="shared" si="56"/>
        <v>0</v>
      </c>
      <c r="S199" s="283">
        <f t="shared" si="56"/>
        <v>0</v>
      </c>
      <c r="T199" s="283">
        <f t="shared" si="56"/>
        <v>0</v>
      </c>
      <c r="U199" s="283">
        <f t="shared" si="56"/>
        <v>0</v>
      </c>
      <c r="V199" s="283">
        <f t="shared" si="56"/>
        <v>0</v>
      </c>
      <c r="W199" s="283">
        <f t="shared" si="56"/>
        <v>0</v>
      </c>
      <c r="X199" s="283">
        <f t="shared" si="56"/>
        <v>0</v>
      </c>
      <c r="Y199" s="283">
        <f t="shared" si="56"/>
        <v>0</v>
      </c>
      <c r="Z199" s="272"/>
      <c r="AA199" s="272"/>
    </row>
    <row r="200" spans="3:27" x14ac:dyDescent="0.25">
      <c r="D200" s="32"/>
      <c r="E200" s="32"/>
      <c r="F200" s="191" t="s">
        <v>197</v>
      </c>
      <c r="G200" t="s">
        <v>269</v>
      </c>
      <c r="H200" s="272"/>
      <c r="I200" s="272"/>
      <c r="J200" s="283">
        <f t="shared" ref="J200:Y200" si="57">hundred * $H37 * J62 / $H50 * J100 / hours_in_year</f>
        <v>0.38211190117763377</v>
      </c>
      <c r="K200" s="283">
        <f t="shared" si="57"/>
        <v>0.38211190117763377</v>
      </c>
      <c r="L200" s="283">
        <f t="shared" si="57"/>
        <v>0.39903734593514772</v>
      </c>
      <c r="M200" s="283">
        <f t="shared" si="57"/>
        <v>0.39903734593514772</v>
      </c>
      <c r="N200" s="283">
        <f t="shared" si="57"/>
        <v>0.35600127499219908</v>
      </c>
      <c r="O200" s="283">
        <f t="shared" si="57"/>
        <v>0.29359410917650769</v>
      </c>
      <c r="P200" s="283">
        <f t="shared" si="57"/>
        <v>0.29404651065561832</v>
      </c>
      <c r="Q200" s="283">
        <f t="shared" si="57"/>
        <v>0.36347420740380221</v>
      </c>
      <c r="R200" s="283">
        <f t="shared" si="57"/>
        <v>-0.27392996883681409</v>
      </c>
      <c r="S200" s="283">
        <f t="shared" si="57"/>
        <v>-0.26540881701572377</v>
      </c>
      <c r="T200" s="283">
        <f t="shared" si="57"/>
        <v>-0.27392996883681409</v>
      </c>
      <c r="U200" s="283">
        <f t="shared" si="57"/>
        <v>-0.27392996883681409</v>
      </c>
      <c r="V200" s="283">
        <f t="shared" si="57"/>
        <v>-0.26540881701572377</v>
      </c>
      <c r="W200" s="283">
        <f t="shared" si="57"/>
        <v>-0.26540881701572377</v>
      </c>
      <c r="X200" s="283">
        <f t="shared" si="57"/>
        <v>0</v>
      </c>
      <c r="Y200" s="283">
        <f t="shared" si="57"/>
        <v>0</v>
      </c>
      <c r="Z200" s="272"/>
      <c r="AA200" s="272"/>
    </row>
    <row r="201" spans="3:27" x14ac:dyDescent="0.25">
      <c r="D201" s="32"/>
      <c r="E201" s="32"/>
      <c r="F201" s="191" t="s">
        <v>198</v>
      </c>
      <c r="G201" t="s">
        <v>269</v>
      </c>
      <c r="H201" s="272"/>
      <c r="I201" s="272"/>
      <c r="J201" s="283">
        <f t="shared" ref="J201:Y201" si="58">hundred * $H38 * J63 / $H51 * J101 / hours_in_year</f>
        <v>9.2528995348145363E-2</v>
      </c>
      <c r="K201" s="283">
        <f t="shared" si="58"/>
        <v>9.2528995348145363E-2</v>
      </c>
      <c r="L201" s="283">
        <f t="shared" si="58"/>
        <v>9.6627518305443319E-2</v>
      </c>
      <c r="M201" s="283">
        <f t="shared" si="58"/>
        <v>9.6627518305443319E-2</v>
      </c>
      <c r="N201" s="283">
        <f t="shared" si="58"/>
        <v>8.6206266321900982E-2</v>
      </c>
      <c r="O201" s="283">
        <f t="shared" si="58"/>
        <v>7.1094273375189171E-2</v>
      </c>
      <c r="P201" s="283">
        <f t="shared" si="58"/>
        <v>0</v>
      </c>
      <c r="Q201" s="283">
        <f t="shared" si="58"/>
        <v>8.8015848609757516E-2</v>
      </c>
      <c r="R201" s="283">
        <f t="shared" si="58"/>
        <v>-6.6332570993218723E-2</v>
      </c>
      <c r="S201" s="283">
        <f t="shared" si="58"/>
        <v>0</v>
      </c>
      <c r="T201" s="283">
        <f t="shared" si="58"/>
        <v>-6.6332570993218723E-2</v>
      </c>
      <c r="U201" s="283">
        <f t="shared" si="58"/>
        <v>-6.6332570993218723E-2</v>
      </c>
      <c r="V201" s="283">
        <f t="shared" si="58"/>
        <v>0</v>
      </c>
      <c r="W201" s="283">
        <f t="shared" si="58"/>
        <v>0</v>
      </c>
      <c r="X201" s="283">
        <f t="shared" si="58"/>
        <v>0</v>
      </c>
      <c r="Y201" s="283">
        <f t="shared" si="58"/>
        <v>0</v>
      </c>
      <c r="Z201" s="272"/>
      <c r="AA201" s="272"/>
    </row>
    <row r="202" spans="3:27" x14ac:dyDescent="0.25">
      <c r="D202" s="32"/>
      <c r="E202" s="32"/>
      <c r="F202" s="192" t="s">
        <v>199</v>
      </c>
      <c r="G202" s="37" t="s">
        <v>269</v>
      </c>
      <c r="H202" s="276"/>
      <c r="I202" s="276"/>
      <c r="J202" s="284">
        <f t="shared" ref="J202:Y202" si="59">hundred * $H39 * J64 / $H52 * J102 / hours_in_year</f>
        <v>0.21964616037309012</v>
      </c>
      <c r="K202" s="284">
        <f t="shared" si="59"/>
        <v>0.21964616037309012</v>
      </c>
      <c r="L202" s="284">
        <f t="shared" si="59"/>
        <v>0.22937527098738256</v>
      </c>
      <c r="M202" s="284">
        <f t="shared" si="59"/>
        <v>0.22937527098738256</v>
      </c>
      <c r="N202" s="284">
        <f t="shared" si="59"/>
        <v>0.20463720941162375</v>
      </c>
      <c r="O202" s="284">
        <f t="shared" si="59"/>
        <v>0</v>
      </c>
      <c r="P202" s="284">
        <f t="shared" si="59"/>
        <v>0</v>
      </c>
      <c r="Q202" s="284">
        <f t="shared" si="59"/>
        <v>0.20893281210255693</v>
      </c>
      <c r="R202" s="284">
        <f t="shared" si="59"/>
        <v>0</v>
      </c>
      <c r="S202" s="284">
        <f t="shared" si="59"/>
        <v>0</v>
      </c>
      <c r="T202" s="284">
        <f t="shared" si="59"/>
        <v>0</v>
      </c>
      <c r="U202" s="284">
        <f t="shared" si="59"/>
        <v>0</v>
      </c>
      <c r="V202" s="284">
        <f t="shared" si="59"/>
        <v>0</v>
      </c>
      <c r="W202" s="284">
        <f t="shared" si="59"/>
        <v>0</v>
      </c>
      <c r="X202" s="284">
        <f t="shared" si="59"/>
        <v>0</v>
      </c>
      <c r="Y202" s="284">
        <f t="shared" si="59"/>
        <v>0</v>
      </c>
      <c r="Z202" s="272"/>
      <c r="AA202" s="272"/>
    </row>
    <row r="203" spans="3:27" x14ac:dyDescent="0.25">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25">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25">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25">
      <c r="C206" s="29" t="s">
        <v>627</v>
      </c>
      <c r="D206" s="32"/>
      <c r="E206" s="32"/>
      <c r="I206" s="3" t="s">
        <v>154</v>
      </c>
      <c r="J206" s="163"/>
      <c r="K206" s="163"/>
      <c r="L206" s="163"/>
      <c r="M206" s="163"/>
      <c r="N206" s="163"/>
      <c r="O206" s="163"/>
      <c r="P206" s="163"/>
      <c r="Q206" s="163"/>
      <c r="R206" s="163"/>
      <c r="S206" s="163"/>
      <c r="T206" s="163"/>
      <c r="U206" s="163"/>
      <c r="V206" s="163"/>
      <c r="W206" s="163"/>
      <c r="X206" s="163"/>
      <c r="Y206" s="163"/>
      <c r="AA206" t="s">
        <v>625</v>
      </c>
    </row>
    <row r="207" spans="3:27" x14ac:dyDescent="0.25">
      <c r="C207" s="29" t="s">
        <v>628</v>
      </c>
      <c r="D207" s="32"/>
      <c r="E207" s="32"/>
      <c r="J207" s="163"/>
      <c r="K207" s="163"/>
      <c r="L207" s="163"/>
      <c r="M207" s="163"/>
      <c r="N207" s="163"/>
      <c r="O207" s="163"/>
      <c r="P207" s="163"/>
      <c r="Q207" s="163"/>
      <c r="R207" s="163"/>
      <c r="S207" s="163"/>
      <c r="T207" s="163"/>
      <c r="U207" s="163"/>
      <c r="V207" s="163"/>
      <c r="W207" s="163"/>
      <c r="X207" s="163"/>
      <c r="Y207" s="163"/>
    </row>
    <row r="208" spans="3:27" x14ac:dyDescent="0.25">
      <c r="C208" s="32"/>
      <c r="D208" s="32"/>
      <c r="E208" s="32"/>
    </row>
    <row r="209" spans="3:27" x14ac:dyDescent="0.25">
      <c r="E209" s="32" t="s">
        <v>621</v>
      </c>
      <c r="J209" s="163"/>
      <c r="K209" s="163"/>
      <c r="L209" s="163"/>
      <c r="M209" s="163"/>
      <c r="N209" s="163"/>
      <c r="O209" s="163"/>
      <c r="P209" s="163"/>
      <c r="Q209" s="163"/>
      <c r="R209" s="163"/>
      <c r="S209" s="163"/>
      <c r="T209" s="163"/>
      <c r="U209" s="163"/>
      <c r="V209" s="163"/>
      <c r="W209" s="163"/>
      <c r="X209" s="163"/>
      <c r="Y209" s="163"/>
    </row>
    <row r="210" spans="3:27" x14ac:dyDescent="0.25">
      <c r="E210" s="32"/>
      <c r="F210" s="190" t="s">
        <v>189</v>
      </c>
      <c r="G210" s="23" t="s">
        <v>269</v>
      </c>
      <c r="H210" s="270"/>
      <c r="I210" s="270"/>
      <c r="J210" s="282">
        <f t="shared" ref="J210:Y210" si="60">hundred * $H18 * J55 / $H43 * J105 * (1 - J67) / hours_in_year</f>
        <v>0</v>
      </c>
      <c r="K210" s="282">
        <f t="shared" si="60"/>
        <v>0</v>
      </c>
      <c r="L210" s="282">
        <f t="shared" si="60"/>
        <v>0</v>
      </c>
      <c r="M210" s="282">
        <f t="shared" si="60"/>
        <v>0</v>
      </c>
      <c r="N210" s="282">
        <f t="shared" si="60"/>
        <v>0</v>
      </c>
      <c r="O210" s="282">
        <f t="shared" si="60"/>
        <v>0</v>
      </c>
      <c r="P210" s="282">
        <f t="shared" si="60"/>
        <v>0</v>
      </c>
      <c r="Q210" s="282">
        <f t="shared" si="60"/>
        <v>0</v>
      </c>
      <c r="R210" s="282">
        <f t="shared" si="60"/>
        <v>0</v>
      </c>
      <c r="S210" s="282">
        <f t="shared" si="60"/>
        <v>0</v>
      </c>
      <c r="T210" s="282">
        <f t="shared" si="60"/>
        <v>0</v>
      </c>
      <c r="U210" s="282">
        <f t="shared" si="60"/>
        <v>0</v>
      </c>
      <c r="V210" s="282">
        <f t="shared" si="60"/>
        <v>0</v>
      </c>
      <c r="W210" s="282">
        <f t="shared" si="60"/>
        <v>0</v>
      </c>
      <c r="X210" s="282">
        <f t="shared" si="60"/>
        <v>0</v>
      </c>
      <c r="Y210" s="282">
        <f t="shared" si="60"/>
        <v>0</v>
      </c>
      <c r="Z210" s="272"/>
      <c r="AA210" s="272"/>
    </row>
    <row r="211" spans="3:27" x14ac:dyDescent="0.25">
      <c r="E211" s="32"/>
      <c r="F211" s="191" t="s">
        <v>191</v>
      </c>
      <c r="G211" t="s">
        <v>269</v>
      </c>
      <c r="H211" s="272"/>
      <c r="I211" s="272"/>
      <c r="J211" s="283">
        <f t="shared" ref="J211:Y211" si="61">hundred * $H19 * J56 / $H44 * J106 * (1 - J68) / hours_in_year</f>
        <v>0</v>
      </c>
      <c r="K211" s="283">
        <f t="shared" si="61"/>
        <v>0</v>
      </c>
      <c r="L211" s="283">
        <f t="shared" si="61"/>
        <v>0</v>
      </c>
      <c r="M211" s="283">
        <f t="shared" si="61"/>
        <v>0</v>
      </c>
      <c r="N211" s="283">
        <f t="shared" si="61"/>
        <v>0</v>
      </c>
      <c r="O211" s="283">
        <f t="shared" si="61"/>
        <v>0</v>
      </c>
      <c r="P211" s="283">
        <f t="shared" si="61"/>
        <v>0</v>
      </c>
      <c r="Q211" s="283">
        <f t="shared" si="61"/>
        <v>0</v>
      </c>
      <c r="R211" s="283">
        <f t="shared" si="61"/>
        <v>0</v>
      </c>
      <c r="S211" s="283">
        <f t="shared" si="61"/>
        <v>0</v>
      </c>
      <c r="T211" s="283">
        <f t="shared" si="61"/>
        <v>0</v>
      </c>
      <c r="U211" s="283">
        <f t="shared" si="61"/>
        <v>0</v>
      </c>
      <c r="V211" s="283">
        <f t="shared" si="61"/>
        <v>0</v>
      </c>
      <c r="W211" s="283">
        <f t="shared" si="61"/>
        <v>0</v>
      </c>
      <c r="X211" s="283">
        <f t="shared" si="61"/>
        <v>0</v>
      </c>
      <c r="Y211" s="283">
        <f t="shared" si="61"/>
        <v>0</v>
      </c>
      <c r="Z211" s="272"/>
      <c r="AA211" s="272"/>
    </row>
    <row r="212" spans="3:27" x14ac:dyDescent="0.25">
      <c r="E212" s="32"/>
      <c r="F212" s="191" t="s">
        <v>192</v>
      </c>
      <c r="G212" t="s">
        <v>269</v>
      </c>
      <c r="H212" s="272"/>
      <c r="I212" s="272"/>
      <c r="J212" s="283">
        <f t="shared" ref="J212:Y212" si="62">hundred * $H20 * J57 / $H45 * J107 * (1 - J69) / hours_in_year</f>
        <v>0</v>
      </c>
      <c r="K212" s="283">
        <f t="shared" si="62"/>
        <v>0</v>
      </c>
      <c r="L212" s="283">
        <f t="shared" si="62"/>
        <v>0</v>
      </c>
      <c r="M212" s="283">
        <f t="shared" si="62"/>
        <v>0</v>
      </c>
      <c r="N212" s="283">
        <f t="shared" si="62"/>
        <v>0</v>
      </c>
      <c r="O212" s="283">
        <f t="shared" si="62"/>
        <v>0</v>
      </c>
      <c r="P212" s="283">
        <f t="shared" si="62"/>
        <v>0</v>
      </c>
      <c r="Q212" s="283">
        <f t="shared" si="62"/>
        <v>0</v>
      </c>
      <c r="R212" s="283">
        <f t="shared" si="62"/>
        <v>0</v>
      </c>
      <c r="S212" s="283">
        <f t="shared" si="62"/>
        <v>0</v>
      </c>
      <c r="T212" s="283">
        <f t="shared" si="62"/>
        <v>0</v>
      </c>
      <c r="U212" s="283">
        <f t="shared" si="62"/>
        <v>0</v>
      </c>
      <c r="V212" s="283">
        <f t="shared" si="62"/>
        <v>0</v>
      </c>
      <c r="W212" s="283">
        <f t="shared" si="62"/>
        <v>0</v>
      </c>
      <c r="X212" s="283">
        <f t="shared" si="62"/>
        <v>0</v>
      </c>
      <c r="Y212" s="283">
        <f t="shared" si="62"/>
        <v>0</v>
      </c>
      <c r="Z212" s="272"/>
      <c r="AA212" s="272"/>
    </row>
    <row r="213" spans="3:27" x14ac:dyDescent="0.25">
      <c r="E213" s="32"/>
      <c r="F213" s="191" t="s">
        <v>193</v>
      </c>
      <c r="G213" t="s">
        <v>269</v>
      </c>
      <c r="H213" s="272"/>
      <c r="I213" s="272"/>
      <c r="J213" s="283">
        <f t="shared" ref="J213:Y213" si="63">hundred * $H21 * J58 / $H46 * J108 * (1 - J70) / hours_in_year</f>
        <v>0</v>
      </c>
      <c r="K213" s="283">
        <f t="shared" si="63"/>
        <v>0</v>
      </c>
      <c r="L213" s="283">
        <f t="shared" si="63"/>
        <v>0</v>
      </c>
      <c r="M213" s="283">
        <f t="shared" si="63"/>
        <v>0</v>
      </c>
      <c r="N213" s="283">
        <f t="shared" si="63"/>
        <v>0</v>
      </c>
      <c r="O213" s="283">
        <f t="shared" si="63"/>
        <v>0</v>
      </c>
      <c r="P213" s="283">
        <f t="shared" si="63"/>
        <v>0</v>
      </c>
      <c r="Q213" s="283">
        <f t="shared" si="63"/>
        <v>0</v>
      </c>
      <c r="R213" s="283">
        <f t="shared" si="63"/>
        <v>0</v>
      </c>
      <c r="S213" s="283">
        <f t="shared" si="63"/>
        <v>0</v>
      </c>
      <c r="T213" s="283">
        <f t="shared" si="63"/>
        <v>0</v>
      </c>
      <c r="U213" s="283">
        <f t="shared" si="63"/>
        <v>0</v>
      </c>
      <c r="V213" s="283">
        <f t="shared" si="63"/>
        <v>0</v>
      </c>
      <c r="W213" s="283">
        <f t="shared" si="63"/>
        <v>0</v>
      </c>
      <c r="X213" s="283">
        <f t="shared" si="63"/>
        <v>0</v>
      </c>
      <c r="Y213" s="283">
        <f t="shared" si="63"/>
        <v>0</v>
      </c>
      <c r="Z213" s="272"/>
      <c r="AA213" s="272"/>
    </row>
    <row r="214" spans="3:27" x14ac:dyDescent="0.25">
      <c r="E214" s="32"/>
      <c r="F214" s="191" t="s">
        <v>194</v>
      </c>
      <c r="G214" t="s">
        <v>269</v>
      </c>
      <c r="H214" s="272"/>
      <c r="I214" s="272"/>
      <c r="J214" s="283">
        <f t="shared" ref="J214:Y214" si="64">hundred * $H22 * J59 / $H47 * J109 * (1 - J71) / hours_in_year</f>
        <v>5.6782015264948832E-2</v>
      </c>
      <c r="K214" s="283">
        <f t="shared" si="64"/>
        <v>5.6782015264948832E-2</v>
      </c>
      <c r="L214" s="283">
        <f t="shared" si="64"/>
        <v>5.9297144627905869E-2</v>
      </c>
      <c r="M214" s="283">
        <f t="shared" si="64"/>
        <v>5.9297144627905869E-2</v>
      </c>
      <c r="N214" s="283">
        <f t="shared" si="64"/>
        <v>5.2901963452719351E-2</v>
      </c>
      <c r="O214" s="283">
        <f t="shared" si="64"/>
        <v>4.3628228112187639E-2</v>
      </c>
      <c r="P214" s="283">
        <f t="shared" si="64"/>
        <v>4.3463951225617942E-2</v>
      </c>
      <c r="Q214" s="283">
        <f t="shared" si="64"/>
        <v>4.4967827834305259E-2</v>
      </c>
      <c r="R214" s="283">
        <f t="shared" si="64"/>
        <v>-4.0706127247233131E-2</v>
      </c>
      <c r="S214" s="283">
        <f t="shared" si="64"/>
        <v>-3.9439879922067593E-2</v>
      </c>
      <c r="T214" s="283">
        <f t="shared" si="64"/>
        <v>-4.0706127247233131E-2</v>
      </c>
      <c r="U214" s="283">
        <f t="shared" si="64"/>
        <v>-4.0706127247233131E-2</v>
      </c>
      <c r="V214" s="283">
        <f t="shared" si="64"/>
        <v>-3.9439879922067593E-2</v>
      </c>
      <c r="W214" s="283">
        <f t="shared" si="64"/>
        <v>-3.9439879922067593E-2</v>
      </c>
      <c r="X214" s="283">
        <f t="shared" si="64"/>
        <v>-3.8378881712545818E-2</v>
      </c>
      <c r="Y214" s="283">
        <f t="shared" si="64"/>
        <v>-3.8378881712545818E-2</v>
      </c>
      <c r="Z214" s="272"/>
      <c r="AA214" s="272"/>
    </row>
    <row r="215" spans="3:27" x14ac:dyDescent="0.25">
      <c r="E215" s="32"/>
      <c r="F215" s="191" t="s">
        <v>195</v>
      </c>
      <c r="G215" t="s">
        <v>269</v>
      </c>
      <c r="H215" s="272"/>
      <c r="I215" s="272"/>
      <c r="J215" s="283">
        <f t="shared" ref="J215:Y215" si="65">hundred * $H23 * J60 / $H48 * J110 * (1 - J72) / hours_in_year</f>
        <v>5.149364586563368E-2</v>
      </c>
      <c r="K215" s="283">
        <f t="shared" si="65"/>
        <v>5.149364586563368E-2</v>
      </c>
      <c r="L215" s="283">
        <f t="shared" si="65"/>
        <v>5.3774529700383975E-2</v>
      </c>
      <c r="M215" s="283">
        <f t="shared" si="65"/>
        <v>5.3774529700383975E-2</v>
      </c>
      <c r="N215" s="283">
        <f t="shared" si="65"/>
        <v>4.7974961066811664E-2</v>
      </c>
      <c r="O215" s="283">
        <f t="shared" si="65"/>
        <v>3.9564931214071786E-2</v>
      </c>
      <c r="P215" s="283">
        <f t="shared" si="65"/>
        <v>3.949040559444298E-2</v>
      </c>
      <c r="Q215" s="283">
        <f t="shared" si="65"/>
        <v>4.0779767872660876E-2</v>
      </c>
      <c r="R215" s="283">
        <f t="shared" si="65"/>
        <v>-3.6914978999069759E-2</v>
      </c>
      <c r="S215" s="283">
        <f t="shared" si="65"/>
        <v>-3.5766663092419833E-2</v>
      </c>
      <c r="T215" s="283">
        <f t="shared" si="65"/>
        <v>-3.6914978999069759E-2</v>
      </c>
      <c r="U215" s="283">
        <f t="shared" si="65"/>
        <v>-3.6914978999069759E-2</v>
      </c>
      <c r="V215" s="283">
        <f t="shared" si="65"/>
        <v>-3.5766663092419833E-2</v>
      </c>
      <c r="W215" s="283">
        <f t="shared" si="65"/>
        <v>-3.5766663092419833E-2</v>
      </c>
      <c r="X215" s="283">
        <f t="shared" si="65"/>
        <v>-3.4870221467492392E-2</v>
      </c>
      <c r="Y215" s="283">
        <f t="shared" si="65"/>
        <v>-3.4870221467492392E-2</v>
      </c>
      <c r="Z215" s="272"/>
      <c r="AA215" s="272"/>
    </row>
    <row r="216" spans="3:27" x14ac:dyDescent="0.25">
      <c r="E216" s="32"/>
      <c r="F216" s="191" t="s">
        <v>196</v>
      </c>
      <c r="G216" t="s">
        <v>269</v>
      </c>
      <c r="H216" s="272"/>
      <c r="I216" s="272"/>
      <c r="J216" s="283">
        <f t="shared" ref="J216:Y216" si="66">hundred * $H24 * J61 / $H49 * J111 * (1 - J73) / hours_in_year</f>
        <v>0</v>
      </c>
      <c r="K216" s="283">
        <f t="shared" si="66"/>
        <v>0</v>
      </c>
      <c r="L216" s="283">
        <f t="shared" si="66"/>
        <v>0</v>
      </c>
      <c r="M216" s="283">
        <f t="shared" si="66"/>
        <v>0</v>
      </c>
      <c r="N216" s="283">
        <f t="shared" si="66"/>
        <v>0</v>
      </c>
      <c r="O216" s="283">
        <f t="shared" si="66"/>
        <v>0</v>
      </c>
      <c r="P216" s="283">
        <f t="shared" si="66"/>
        <v>0</v>
      </c>
      <c r="Q216" s="283">
        <f t="shared" si="66"/>
        <v>0</v>
      </c>
      <c r="R216" s="283">
        <f t="shared" si="66"/>
        <v>0</v>
      </c>
      <c r="S216" s="283">
        <f t="shared" si="66"/>
        <v>0</v>
      </c>
      <c r="T216" s="283">
        <f t="shared" si="66"/>
        <v>0</v>
      </c>
      <c r="U216" s="283">
        <f t="shared" si="66"/>
        <v>0</v>
      </c>
      <c r="V216" s="283">
        <f t="shared" si="66"/>
        <v>0</v>
      </c>
      <c r="W216" s="283">
        <f t="shared" si="66"/>
        <v>0</v>
      </c>
      <c r="X216" s="283">
        <f t="shared" si="66"/>
        <v>0</v>
      </c>
      <c r="Y216" s="283">
        <f t="shared" si="66"/>
        <v>0</v>
      </c>
      <c r="Z216" s="272"/>
      <c r="AA216" s="272"/>
    </row>
    <row r="217" spans="3:27" x14ac:dyDescent="0.25">
      <c r="E217" s="32"/>
      <c r="F217" s="191" t="s">
        <v>197</v>
      </c>
      <c r="G217" t="s">
        <v>269</v>
      </c>
      <c r="H217" s="272"/>
      <c r="I217" s="272"/>
      <c r="J217" s="283">
        <f t="shared" ref="J217:Y217" si="67">hundred * $H25 * J62 / $H50 * J112 * (1 - J74) / hours_in_year</f>
        <v>0.12281478110852553</v>
      </c>
      <c r="K217" s="283">
        <f t="shared" si="67"/>
        <v>0.12281478110852553</v>
      </c>
      <c r="L217" s="283">
        <f t="shared" si="67"/>
        <v>0.12825479694329062</v>
      </c>
      <c r="M217" s="283">
        <f t="shared" si="67"/>
        <v>0.12825479694329062</v>
      </c>
      <c r="N217" s="283">
        <f t="shared" si="67"/>
        <v>0.11442255142479224</v>
      </c>
      <c r="O217" s="283">
        <f t="shared" si="67"/>
        <v>9.4364232420238253E-2</v>
      </c>
      <c r="P217" s="283">
        <f t="shared" si="67"/>
        <v>0.10047099112223851</v>
      </c>
      <c r="Q217" s="283">
        <f t="shared" si="67"/>
        <v>9.7261675314387758E-2</v>
      </c>
      <c r="R217" s="283">
        <f t="shared" si="67"/>
        <v>-8.8043971041140021E-2</v>
      </c>
      <c r="S217" s="283">
        <f t="shared" si="67"/>
        <v>-8.5305183286886813E-2</v>
      </c>
      <c r="T217" s="283">
        <f t="shared" si="67"/>
        <v>-8.8043971041140021E-2</v>
      </c>
      <c r="U217" s="283">
        <f t="shared" si="67"/>
        <v>-8.8043971041140021E-2</v>
      </c>
      <c r="V217" s="283">
        <f t="shared" si="67"/>
        <v>-8.5305183286886813E-2</v>
      </c>
      <c r="W217" s="283">
        <f t="shared" si="67"/>
        <v>-8.5305183286886813E-2</v>
      </c>
      <c r="X217" s="283">
        <f t="shared" si="67"/>
        <v>0</v>
      </c>
      <c r="Y217" s="283">
        <f t="shared" si="67"/>
        <v>0</v>
      </c>
      <c r="Z217" s="272"/>
      <c r="AA217" s="272"/>
    </row>
    <row r="218" spans="3:27" x14ac:dyDescent="0.25">
      <c r="E218" s="32"/>
      <c r="F218" s="191" t="s">
        <v>198</v>
      </c>
      <c r="G218" t="s">
        <v>269</v>
      </c>
      <c r="H218" s="272"/>
      <c r="I218" s="272"/>
      <c r="J218" s="283">
        <f t="shared" ref="J218:Y218" si="68">hundred * $H26 * J63 / $H51 * J113 * (1 - J75) / hours_in_year</f>
        <v>1.1248155587330813E-2</v>
      </c>
      <c r="K218" s="283">
        <f t="shared" si="68"/>
        <v>1.1248155587330813E-2</v>
      </c>
      <c r="L218" s="283">
        <f t="shared" si="68"/>
        <v>1.174638669562803E-2</v>
      </c>
      <c r="M218" s="283">
        <f t="shared" si="68"/>
        <v>1.174638669562803E-2</v>
      </c>
      <c r="N218" s="283">
        <f t="shared" si="68"/>
        <v>1.0479542034831509E-2</v>
      </c>
      <c r="O218" s="283">
        <f t="shared" si="68"/>
        <v>8.6424741269860422E-3</v>
      </c>
      <c r="P218" s="283">
        <f t="shared" si="68"/>
        <v>0</v>
      </c>
      <c r="Q218" s="283">
        <f t="shared" si="68"/>
        <v>8.907840300215639E-3</v>
      </c>
      <c r="R218" s="283">
        <f t="shared" si="68"/>
        <v>-8.0636245560872857E-3</v>
      </c>
      <c r="S218" s="283">
        <f t="shared" si="68"/>
        <v>0</v>
      </c>
      <c r="T218" s="283">
        <f t="shared" si="68"/>
        <v>-8.0636245560872857E-3</v>
      </c>
      <c r="U218" s="283">
        <f t="shared" si="68"/>
        <v>-8.0636245560872857E-3</v>
      </c>
      <c r="V218" s="283">
        <f t="shared" si="68"/>
        <v>0</v>
      </c>
      <c r="W218" s="283">
        <f t="shared" si="68"/>
        <v>0</v>
      </c>
      <c r="X218" s="283">
        <f t="shared" si="68"/>
        <v>0</v>
      </c>
      <c r="Y218" s="283">
        <f t="shared" si="68"/>
        <v>0</v>
      </c>
      <c r="Z218" s="272"/>
      <c r="AA218" s="272"/>
    </row>
    <row r="219" spans="3:27" x14ac:dyDescent="0.25">
      <c r="E219" s="32"/>
      <c r="F219" s="192" t="s">
        <v>199</v>
      </c>
      <c r="G219" s="37" t="s">
        <v>269</v>
      </c>
      <c r="H219" s="276"/>
      <c r="I219" s="276"/>
      <c r="J219" s="284">
        <f t="shared" ref="J219:Y219" si="69">hundred * $H27 * J64 / $H52 * J114 * (1 - J76) / hours_in_year</f>
        <v>4.0848653744670798E-3</v>
      </c>
      <c r="K219" s="284">
        <f t="shared" si="69"/>
        <v>4.0848653744670798E-3</v>
      </c>
      <c r="L219" s="284">
        <f t="shared" si="69"/>
        <v>4.2658023278159454E-3</v>
      </c>
      <c r="M219" s="284">
        <f t="shared" si="69"/>
        <v>4.2658023278159454E-3</v>
      </c>
      <c r="N219" s="284">
        <f t="shared" si="69"/>
        <v>3.8057366886506353E-3</v>
      </c>
      <c r="O219" s="284">
        <f t="shared" si="69"/>
        <v>0</v>
      </c>
      <c r="P219" s="284">
        <f t="shared" si="69"/>
        <v>0</v>
      </c>
      <c r="Q219" s="284">
        <f t="shared" si="69"/>
        <v>3.2349595559131136E-3</v>
      </c>
      <c r="R219" s="284">
        <f t="shared" si="69"/>
        <v>0</v>
      </c>
      <c r="S219" s="284">
        <f t="shared" si="69"/>
        <v>0</v>
      </c>
      <c r="T219" s="284">
        <f t="shared" si="69"/>
        <v>0</v>
      </c>
      <c r="U219" s="284">
        <f t="shared" si="69"/>
        <v>0</v>
      </c>
      <c r="V219" s="284">
        <f t="shared" si="69"/>
        <v>0</v>
      </c>
      <c r="W219" s="284">
        <f t="shared" si="69"/>
        <v>0</v>
      </c>
      <c r="X219" s="284">
        <f t="shared" si="69"/>
        <v>0</v>
      </c>
      <c r="Y219" s="284">
        <f t="shared" si="69"/>
        <v>0</v>
      </c>
      <c r="Z219" s="272"/>
      <c r="AA219" s="272"/>
    </row>
    <row r="220" spans="3:27" x14ac:dyDescent="0.25">
      <c r="E220" s="32"/>
      <c r="F220" s="191"/>
      <c r="J220" s="163"/>
      <c r="K220" s="163"/>
      <c r="L220" s="163"/>
      <c r="M220" s="163"/>
      <c r="N220" s="163"/>
      <c r="O220" s="163"/>
      <c r="P220" s="163"/>
      <c r="Q220" s="163"/>
      <c r="R220" s="163"/>
      <c r="S220" s="163"/>
      <c r="T220" s="163"/>
      <c r="U220" s="163"/>
      <c r="V220" s="163"/>
      <c r="W220" s="163"/>
      <c r="X220" s="163"/>
      <c r="Y220" s="163"/>
    </row>
    <row r="221" spans="3:27" x14ac:dyDescent="0.25">
      <c r="E221" s="32" t="s">
        <v>622</v>
      </c>
      <c r="J221" s="163"/>
      <c r="K221" s="163"/>
      <c r="L221" s="163"/>
      <c r="M221" s="163"/>
      <c r="N221" s="163"/>
      <c r="O221" s="163"/>
      <c r="P221" s="163"/>
      <c r="Q221" s="163"/>
      <c r="R221" s="163"/>
      <c r="S221" s="163"/>
      <c r="T221" s="163"/>
      <c r="U221" s="163"/>
      <c r="V221" s="163"/>
      <c r="W221" s="163"/>
      <c r="X221" s="163"/>
      <c r="Y221" s="163"/>
    </row>
    <row r="222" spans="3:27" x14ac:dyDescent="0.25">
      <c r="C222" s="32"/>
      <c r="E222" s="32"/>
      <c r="F222" s="190" t="s">
        <v>189</v>
      </c>
      <c r="G222" s="23" t="s">
        <v>269</v>
      </c>
      <c r="H222" s="270"/>
      <c r="I222" s="270"/>
      <c r="J222" s="282">
        <f t="shared" ref="J222:Y222" si="70">hundred * $H30 * J55 / $H43 * J105 / hours_in_year</f>
        <v>0.14125159041628743</v>
      </c>
      <c r="K222" s="282">
        <f t="shared" si="70"/>
        <v>0.14125159041628743</v>
      </c>
      <c r="L222" s="282">
        <f t="shared" si="70"/>
        <v>0.14750825497746389</v>
      </c>
      <c r="M222" s="282">
        <f t="shared" si="70"/>
        <v>0.14750825497746389</v>
      </c>
      <c r="N222" s="282">
        <f t="shared" si="70"/>
        <v>0.13159952916383438</v>
      </c>
      <c r="O222" s="282">
        <f t="shared" si="70"/>
        <v>0.10853007909522355</v>
      </c>
      <c r="P222" s="282">
        <f t="shared" si="70"/>
        <v>0.10869731395033828</v>
      </c>
      <c r="Q222" s="282">
        <f t="shared" si="70"/>
        <v>0.11186248268089082</v>
      </c>
      <c r="R222" s="282">
        <f t="shared" si="70"/>
        <v>-0.10126102757238296</v>
      </c>
      <c r="S222" s="282">
        <f t="shared" si="70"/>
        <v>-9.8111096248081911E-2</v>
      </c>
      <c r="T222" s="282">
        <f t="shared" si="70"/>
        <v>-0.10126102757238296</v>
      </c>
      <c r="U222" s="282">
        <f t="shared" si="70"/>
        <v>-0.10126102757238296</v>
      </c>
      <c r="V222" s="282">
        <f t="shared" si="70"/>
        <v>-9.8111096248081911E-2</v>
      </c>
      <c r="W222" s="282">
        <f t="shared" si="70"/>
        <v>-9.8111096248081911E-2</v>
      </c>
      <c r="X222" s="282">
        <f t="shared" si="70"/>
        <v>-9.5980260352231242E-2</v>
      </c>
      <c r="Y222" s="282">
        <f t="shared" si="70"/>
        <v>-9.5980260352231242E-2</v>
      </c>
      <c r="Z222" s="272"/>
      <c r="AA222" s="272"/>
    </row>
    <row r="223" spans="3:27" x14ac:dyDescent="0.25">
      <c r="C223" s="32"/>
      <c r="E223" s="32"/>
      <c r="F223" s="191" t="s">
        <v>191</v>
      </c>
      <c r="G223" t="s">
        <v>269</v>
      </c>
      <c r="H223" s="272"/>
      <c r="I223" s="272"/>
      <c r="J223" s="283">
        <f t="shared" ref="J223:Y223" si="71">hundred * $H31 * J56 / $H44 * J106 / hours_in_year</f>
        <v>0</v>
      </c>
      <c r="K223" s="283">
        <f t="shared" si="71"/>
        <v>0</v>
      </c>
      <c r="L223" s="283">
        <f t="shared" si="71"/>
        <v>0</v>
      </c>
      <c r="M223" s="283">
        <f t="shared" si="71"/>
        <v>0</v>
      </c>
      <c r="N223" s="283">
        <f t="shared" si="71"/>
        <v>0</v>
      </c>
      <c r="O223" s="283">
        <f t="shared" si="71"/>
        <v>0</v>
      </c>
      <c r="P223" s="283">
        <f t="shared" si="71"/>
        <v>0</v>
      </c>
      <c r="Q223" s="283">
        <f t="shared" si="71"/>
        <v>0</v>
      </c>
      <c r="R223" s="283">
        <f t="shared" si="71"/>
        <v>0</v>
      </c>
      <c r="S223" s="283">
        <f t="shared" si="71"/>
        <v>0</v>
      </c>
      <c r="T223" s="283">
        <f t="shared" si="71"/>
        <v>0</v>
      </c>
      <c r="U223" s="283">
        <f t="shared" si="71"/>
        <v>0</v>
      </c>
      <c r="V223" s="283">
        <f t="shared" si="71"/>
        <v>0</v>
      </c>
      <c r="W223" s="283">
        <f t="shared" si="71"/>
        <v>0</v>
      </c>
      <c r="X223" s="283">
        <f t="shared" si="71"/>
        <v>0</v>
      </c>
      <c r="Y223" s="283">
        <f t="shared" si="71"/>
        <v>0</v>
      </c>
      <c r="Z223" s="272"/>
      <c r="AA223" s="272"/>
    </row>
    <row r="224" spans="3:27" x14ac:dyDescent="0.25">
      <c r="C224" s="32"/>
      <c r="E224" s="32"/>
      <c r="F224" s="191" t="s">
        <v>192</v>
      </c>
      <c r="G224" t="s">
        <v>269</v>
      </c>
      <c r="H224" s="272"/>
      <c r="I224" s="272"/>
      <c r="J224" s="283">
        <f t="shared" ref="J224:Y224" si="72">hundred * $H32 * J57 / $H45 * J107 / hours_in_year</f>
        <v>0</v>
      </c>
      <c r="K224" s="283">
        <f t="shared" si="72"/>
        <v>0</v>
      </c>
      <c r="L224" s="283">
        <f t="shared" si="72"/>
        <v>0</v>
      </c>
      <c r="M224" s="283">
        <f t="shared" si="72"/>
        <v>0</v>
      </c>
      <c r="N224" s="283">
        <f t="shared" si="72"/>
        <v>0</v>
      </c>
      <c r="O224" s="283">
        <f t="shared" si="72"/>
        <v>0</v>
      </c>
      <c r="P224" s="283">
        <f t="shared" si="72"/>
        <v>0</v>
      </c>
      <c r="Q224" s="283">
        <f t="shared" si="72"/>
        <v>0</v>
      </c>
      <c r="R224" s="283">
        <f t="shared" si="72"/>
        <v>0</v>
      </c>
      <c r="S224" s="283">
        <f t="shared" si="72"/>
        <v>0</v>
      </c>
      <c r="T224" s="283">
        <f t="shared" si="72"/>
        <v>0</v>
      </c>
      <c r="U224" s="283">
        <f t="shared" si="72"/>
        <v>0</v>
      </c>
      <c r="V224" s="283">
        <f t="shared" si="72"/>
        <v>0</v>
      </c>
      <c r="W224" s="283">
        <f t="shared" si="72"/>
        <v>0</v>
      </c>
      <c r="X224" s="283">
        <f t="shared" si="72"/>
        <v>0</v>
      </c>
      <c r="Y224" s="283">
        <f t="shared" si="72"/>
        <v>0</v>
      </c>
      <c r="Z224" s="272"/>
      <c r="AA224" s="272"/>
    </row>
    <row r="225" spans="2:27" x14ac:dyDescent="0.25">
      <c r="C225" s="32"/>
      <c r="E225" s="32"/>
      <c r="F225" s="191" t="s">
        <v>193</v>
      </c>
      <c r="G225" t="s">
        <v>269</v>
      </c>
      <c r="H225" s="272"/>
      <c r="I225" s="272"/>
      <c r="J225" s="283">
        <f t="shared" ref="J225:Y225" si="73">hundred * $H33 * J58 / $H46 * J108 / hours_in_year</f>
        <v>0</v>
      </c>
      <c r="K225" s="283">
        <f t="shared" si="73"/>
        <v>0</v>
      </c>
      <c r="L225" s="283">
        <f t="shared" si="73"/>
        <v>0</v>
      </c>
      <c r="M225" s="283">
        <f t="shared" si="73"/>
        <v>0</v>
      </c>
      <c r="N225" s="283">
        <f t="shared" si="73"/>
        <v>0</v>
      </c>
      <c r="O225" s="283">
        <f t="shared" si="73"/>
        <v>0</v>
      </c>
      <c r="P225" s="283">
        <f t="shared" si="73"/>
        <v>0</v>
      </c>
      <c r="Q225" s="283">
        <f t="shared" si="73"/>
        <v>0</v>
      </c>
      <c r="R225" s="283">
        <f t="shared" si="73"/>
        <v>0</v>
      </c>
      <c r="S225" s="283">
        <f t="shared" si="73"/>
        <v>0</v>
      </c>
      <c r="T225" s="283">
        <f t="shared" si="73"/>
        <v>0</v>
      </c>
      <c r="U225" s="283">
        <f t="shared" si="73"/>
        <v>0</v>
      </c>
      <c r="V225" s="283">
        <f t="shared" si="73"/>
        <v>0</v>
      </c>
      <c r="W225" s="283">
        <f t="shared" si="73"/>
        <v>0</v>
      </c>
      <c r="X225" s="283">
        <f t="shared" si="73"/>
        <v>0</v>
      </c>
      <c r="Y225" s="283">
        <f t="shared" si="73"/>
        <v>0</v>
      </c>
      <c r="Z225" s="272"/>
      <c r="AA225" s="272"/>
    </row>
    <row r="226" spans="2:27" x14ac:dyDescent="0.25">
      <c r="C226" s="32"/>
      <c r="E226" s="32"/>
      <c r="F226" s="191" t="s">
        <v>194</v>
      </c>
      <c r="G226" t="s">
        <v>269</v>
      </c>
      <c r="H226" s="272"/>
      <c r="I226" s="272"/>
      <c r="J226" s="283">
        <f t="shared" ref="J226:Y226" si="74">hundred * $H34 * J59 / $H47 * J109 / hours_in_year</f>
        <v>4.8068155167537888E-2</v>
      </c>
      <c r="K226" s="283">
        <f t="shared" si="74"/>
        <v>4.8068155167537888E-2</v>
      </c>
      <c r="L226" s="283">
        <f t="shared" si="74"/>
        <v>5.0197308701820403E-2</v>
      </c>
      <c r="M226" s="283">
        <f t="shared" si="74"/>
        <v>5.0197308701820403E-2</v>
      </c>
      <c r="N226" s="283">
        <f t="shared" si="74"/>
        <v>4.4783542395376165E-2</v>
      </c>
      <c r="O226" s="283">
        <f t="shared" si="74"/>
        <v>3.6932969511491054E-2</v>
      </c>
      <c r="P226" s="283">
        <f t="shared" si="74"/>
        <v>3.6989879815590182E-2</v>
      </c>
      <c r="Q226" s="283">
        <f t="shared" si="74"/>
        <v>3.8066992088968826E-2</v>
      </c>
      <c r="R226" s="283">
        <f t="shared" si="74"/>
        <v>-3.4459298981545365E-2</v>
      </c>
      <c r="S226" s="283">
        <f t="shared" si="74"/>
        <v>-3.3387372023290514E-2</v>
      </c>
      <c r="T226" s="283">
        <f t="shared" si="74"/>
        <v>-3.4459298981545365E-2</v>
      </c>
      <c r="U226" s="283">
        <f t="shared" si="74"/>
        <v>-3.4459298981545365E-2</v>
      </c>
      <c r="V226" s="283">
        <f t="shared" si="74"/>
        <v>-3.3387372023290514E-2</v>
      </c>
      <c r="W226" s="283">
        <f t="shared" si="74"/>
        <v>-3.3387372023290514E-2</v>
      </c>
      <c r="X226" s="283">
        <f t="shared" si="74"/>
        <v>-3.2662244963294597E-2</v>
      </c>
      <c r="Y226" s="283">
        <f t="shared" si="74"/>
        <v>-3.2662244963294597E-2</v>
      </c>
      <c r="Z226" s="272"/>
      <c r="AA226" s="272"/>
    </row>
    <row r="227" spans="2:27" x14ac:dyDescent="0.25">
      <c r="C227" s="32"/>
      <c r="E227" s="32"/>
      <c r="F227" s="191" t="s">
        <v>195</v>
      </c>
      <c r="G227" t="s">
        <v>269</v>
      </c>
      <c r="H227" s="272"/>
      <c r="I227" s="272"/>
      <c r="J227" s="283">
        <f t="shared" ref="J227:Y227" si="75">hundred * $H35 * J60 / $H48 * J110 / hours_in_year</f>
        <v>4.3491889198531246E-2</v>
      </c>
      <c r="K227" s="283">
        <f t="shared" si="75"/>
        <v>4.3491889198531246E-2</v>
      </c>
      <c r="L227" s="283">
        <f t="shared" si="75"/>
        <v>4.5418339449782262E-2</v>
      </c>
      <c r="M227" s="283">
        <f t="shared" si="75"/>
        <v>4.5418339449782262E-2</v>
      </c>
      <c r="N227" s="283">
        <f t="shared" si="75"/>
        <v>4.0519983697913813E-2</v>
      </c>
      <c r="O227" s="283">
        <f t="shared" si="75"/>
        <v>3.3416814358028075E-2</v>
      </c>
      <c r="P227" s="283">
        <f t="shared" si="75"/>
        <v>3.3468306590910879E-2</v>
      </c>
      <c r="Q227" s="283">
        <f t="shared" si="75"/>
        <v>3.4442873796265143E-2</v>
      </c>
      <c r="R227" s="283">
        <f t="shared" si="75"/>
        <v>-3.1178646401985408E-2</v>
      </c>
      <c r="S227" s="283">
        <f t="shared" si="75"/>
        <v>-3.0208770850597023E-2</v>
      </c>
      <c r="T227" s="283">
        <f t="shared" si="75"/>
        <v>-3.1178646401985408E-2</v>
      </c>
      <c r="U227" s="283">
        <f t="shared" si="75"/>
        <v>-3.1178646401985408E-2</v>
      </c>
      <c r="V227" s="283">
        <f t="shared" si="75"/>
        <v>-3.0208770850597023E-2</v>
      </c>
      <c r="W227" s="283">
        <f t="shared" si="75"/>
        <v>-3.0208770850597023E-2</v>
      </c>
      <c r="X227" s="283">
        <f t="shared" si="75"/>
        <v>-2.9552678565834292E-2</v>
      </c>
      <c r="Y227" s="283">
        <f t="shared" si="75"/>
        <v>-2.9552678565834292E-2</v>
      </c>
      <c r="Z227" s="272"/>
      <c r="AA227" s="272"/>
    </row>
    <row r="228" spans="2:27" x14ac:dyDescent="0.25">
      <c r="C228" s="32"/>
      <c r="E228" s="32"/>
      <c r="F228" s="191" t="s">
        <v>196</v>
      </c>
      <c r="G228" t="s">
        <v>269</v>
      </c>
      <c r="H228" s="272"/>
      <c r="I228" s="272"/>
      <c r="J228" s="283">
        <f t="shared" ref="J228:Y228" si="76">hundred * $H36 * J61 / $H49 * J111 / hours_in_year</f>
        <v>0</v>
      </c>
      <c r="K228" s="283">
        <f t="shared" si="76"/>
        <v>0</v>
      </c>
      <c r="L228" s="283">
        <f t="shared" si="76"/>
        <v>0</v>
      </c>
      <c r="M228" s="283">
        <f t="shared" si="76"/>
        <v>0</v>
      </c>
      <c r="N228" s="283">
        <f t="shared" si="76"/>
        <v>0</v>
      </c>
      <c r="O228" s="283">
        <f t="shared" si="76"/>
        <v>0</v>
      </c>
      <c r="P228" s="283">
        <f t="shared" si="76"/>
        <v>0</v>
      </c>
      <c r="Q228" s="283">
        <f t="shared" si="76"/>
        <v>0</v>
      </c>
      <c r="R228" s="283">
        <f t="shared" si="76"/>
        <v>0</v>
      </c>
      <c r="S228" s="283">
        <f t="shared" si="76"/>
        <v>0</v>
      </c>
      <c r="T228" s="283">
        <f t="shared" si="76"/>
        <v>0</v>
      </c>
      <c r="U228" s="283">
        <f t="shared" si="76"/>
        <v>0</v>
      </c>
      <c r="V228" s="283">
        <f t="shared" si="76"/>
        <v>0</v>
      </c>
      <c r="W228" s="283">
        <f t="shared" si="76"/>
        <v>0</v>
      </c>
      <c r="X228" s="283">
        <f t="shared" si="76"/>
        <v>0</v>
      </c>
      <c r="Y228" s="283">
        <f t="shared" si="76"/>
        <v>0</v>
      </c>
      <c r="Z228" s="272"/>
      <c r="AA228" s="272"/>
    </row>
    <row r="229" spans="2:27" x14ac:dyDescent="0.25">
      <c r="C229" s="32"/>
      <c r="E229" s="32"/>
      <c r="F229" s="191" t="s">
        <v>197</v>
      </c>
      <c r="G229" t="s">
        <v>269</v>
      </c>
      <c r="H229" s="272"/>
      <c r="I229" s="272"/>
      <c r="J229" s="283">
        <f t="shared" ref="J229:Y229" si="77">hundred * $H37 * J62 / $H50 * J112 / hours_in_year</f>
        <v>0.17971954696941497</v>
      </c>
      <c r="K229" s="283">
        <f t="shared" si="77"/>
        <v>0.17971954696941497</v>
      </c>
      <c r="L229" s="283">
        <f t="shared" si="77"/>
        <v>0.18768012933992376</v>
      </c>
      <c r="M229" s="283">
        <f t="shared" si="77"/>
        <v>0.18768012933992376</v>
      </c>
      <c r="N229" s="283">
        <f t="shared" si="77"/>
        <v>0.16743887762969553</v>
      </c>
      <c r="O229" s="283">
        <f t="shared" si="77"/>
        <v>0.13808677544843609</v>
      </c>
      <c r="P229" s="283">
        <f t="shared" si="77"/>
        <v>0.138299554450146</v>
      </c>
      <c r="Q229" s="283">
        <f t="shared" si="77"/>
        <v>0.14232671399334268</v>
      </c>
      <c r="R229" s="283">
        <f t="shared" si="77"/>
        <v>-0.12883809624608419</v>
      </c>
      <c r="S229" s="283">
        <f t="shared" si="77"/>
        <v>-0.1248303238102499</v>
      </c>
      <c r="T229" s="283">
        <f t="shared" si="77"/>
        <v>-0.12883809624608419</v>
      </c>
      <c r="U229" s="283">
        <f t="shared" si="77"/>
        <v>-0.12883809624608419</v>
      </c>
      <c r="V229" s="283">
        <f t="shared" si="77"/>
        <v>-0.1248303238102499</v>
      </c>
      <c r="W229" s="283">
        <f t="shared" si="77"/>
        <v>-0.1248303238102499</v>
      </c>
      <c r="X229" s="283">
        <f t="shared" si="77"/>
        <v>0</v>
      </c>
      <c r="Y229" s="283">
        <f t="shared" si="77"/>
        <v>0</v>
      </c>
      <c r="Z229" s="272"/>
      <c r="AA229" s="272"/>
    </row>
    <row r="230" spans="2:27" x14ac:dyDescent="0.25">
      <c r="C230" s="32"/>
      <c r="E230" s="32"/>
      <c r="F230" s="191" t="s">
        <v>198</v>
      </c>
      <c r="G230" t="s">
        <v>269</v>
      </c>
      <c r="H230" s="272"/>
      <c r="I230" s="272"/>
      <c r="J230" s="283">
        <f t="shared" ref="J230:Y230" si="78">hundred * $H38 * J63 / $H51 * J113 / hours_in_year</f>
        <v>4.3519369782134262E-2</v>
      </c>
      <c r="K230" s="283">
        <f t="shared" si="78"/>
        <v>4.3519369782134262E-2</v>
      </c>
      <c r="L230" s="283">
        <f t="shared" si="78"/>
        <v>4.5447037271315445E-2</v>
      </c>
      <c r="M230" s="283">
        <f t="shared" si="78"/>
        <v>4.5447037271315445E-2</v>
      </c>
      <c r="N230" s="283">
        <f t="shared" si="78"/>
        <v>4.0545586467076594E-2</v>
      </c>
      <c r="O230" s="283">
        <f t="shared" si="78"/>
        <v>3.3437928951522054E-2</v>
      </c>
      <c r="P230" s="283">
        <f t="shared" si="78"/>
        <v>0</v>
      </c>
      <c r="Q230" s="283">
        <f t="shared" si="78"/>
        <v>3.4464636710921856E-2</v>
      </c>
      <c r="R230" s="283">
        <f t="shared" si="78"/>
        <v>-3.1198346797044533E-2</v>
      </c>
      <c r="S230" s="283">
        <f t="shared" si="78"/>
        <v>0</v>
      </c>
      <c r="T230" s="283">
        <f t="shared" si="78"/>
        <v>-3.1198346797044533E-2</v>
      </c>
      <c r="U230" s="283">
        <f t="shared" si="78"/>
        <v>-3.1198346797044533E-2</v>
      </c>
      <c r="V230" s="283">
        <f t="shared" si="78"/>
        <v>0</v>
      </c>
      <c r="W230" s="283">
        <f t="shared" si="78"/>
        <v>0</v>
      </c>
      <c r="X230" s="283">
        <f t="shared" si="78"/>
        <v>0</v>
      </c>
      <c r="Y230" s="283">
        <f t="shared" si="78"/>
        <v>0</v>
      </c>
      <c r="Z230" s="272"/>
      <c r="AA230" s="272"/>
    </row>
    <row r="231" spans="2:27" x14ac:dyDescent="0.25">
      <c r="C231" s="32"/>
      <c r="E231" s="32"/>
      <c r="F231" s="192" t="s">
        <v>199</v>
      </c>
      <c r="G231" s="37" t="s">
        <v>269</v>
      </c>
      <c r="H231" s="276"/>
      <c r="I231" s="276"/>
      <c r="J231" s="284">
        <f t="shared" ref="J231:Y231" si="79">hundred * $H39 * J64 / $H52 * J114 / hours_in_year</f>
        <v>0.10330667093635608</v>
      </c>
      <c r="K231" s="284">
        <f t="shared" si="79"/>
        <v>0.10330667093635608</v>
      </c>
      <c r="L231" s="284">
        <f t="shared" si="79"/>
        <v>0.10788258533898844</v>
      </c>
      <c r="M231" s="284">
        <f t="shared" si="79"/>
        <v>0.10788258533898844</v>
      </c>
      <c r="N231" s="284">
        <f t="shared" si="79"/>
        <v>9.6247477388686498E-2</v>
      </c>
      <c r="O231" s="284">
        <f t="shared" si="79"/>
        <v>0</v>
      </c>
      <c r="P231" s="284">
        <f t="shared" si="79"/>
        <v>0</v>
      </c>
      <c r="Q231" s="284">
        <f t="shared" si="79"/>
        <v>8.1812464230534454E-2</v>
      </c>
      <c r="R231" s="284">
        <f t="shared" si="79"/>
        <v>0</v>
      </c>
      <c r="S231" s="284">
        <f t="shared" si="79"/>
        <v>0</v>
      </c>
      <c r="T231" s="284">
        <f t="shared" si="79"/>
        <v>0</v>
      </c>
      <c r="U231" s="284">
        <f t="shared" si="79"/>
        <v>0</v>
      </c>
      <c r="V231" s="284">
        <f t="shared" si="79"/>
        <v>0</v>
      </c>
      <c r="W231" s="284">
        <f t="shared" si="79"/>
        <v>0</v>
      </c>
      <c r="X231" s="284">
        <f t="shared" si="79"/>
        <v>0</v>
      </c>
      <c r="Y231" s="284">
        <f t="shared" si="79"/>
        <v>0</v>
      </c>
      <c r="Z231" s="272"/>
      <c r="AA231" s="272"/>
    </row>
    <row r="232" spans="2:27" x14ac:dyDescent="0.25">
      <c r="J232" s="14"/>
      <c r="K232" s="14"/>
      <c r="L232" s="14"/>
      <c r="M232" s="14"/>
      <c r="N232" s="14"/>
      <c r="O232" s="14"/>
      <c r="P232" s="14"/>
      <c r="Q232" s="14"/>
      <c r="R232" s="14"/>
      <c r="S232" s="14"/>
      <c r="T232" s="14"/>
      <c r="U232" s="14"/>
      <c r="V232" s="14"/>
      <c r="W232" s="14"/>
      <c r="X232" s="14"/>
      <c r="Y232" s="14"/>
    </row>
    <row r="233" spans="2:27" x14ac:dyDescent="0.25">
      <c r="B233" s="30" t="s">
        <v>231</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25">
      <c r="C234" s="32"/>
      <c r="D234" s="32"/>
      <c r="E234" s="32"/>
      <c r="J234" s="164"/>
      <c r="K234" s="14"/>
      <c r="L234" s="164"/>
      <c r="M234" s="14"/>
      <c r="N234" s="14"/>
      <c r="O234" s="14"/>
      <c r="P234" s="14"/>
      <c r="Q234" s="14"/>
      <c r="R234" s="14"/>
      <c r="S234" s="14"/>
      <c r="T234" s="14"/>
      <c r="U234" s="14"/>
      <c r="V234" s="14"/>
      <c r="W234" s="14"/>
      <c r="X234" s="14"/>
      <c r="Y234" s="14"/>
    </row>
    <row r="235" spans="2:27" x14ac:dyDescent="0.25">
      <c r="D235" s="32" t="s">
        <v>629</v>
      </c>
      <c r="E235" s="32"/>
      <c r="J235" s="164"/>
      <c r="K235" s="14"/>
      <c r="L235" s="164"/>
      <c r="M235" s="14"/>
      <c r="N235" s="14"/>
      <c r="O235" s="14"/>
      <c r="P235" s="14"/>
      <c r="Q235" s="14"/>
      <c r="R235" s="14"/>
      <c r="S235" s="14"/>
      <c r="T235" s="14"/>
      <c r="U235" s="14"/>
      <c r="V235" s="14"/>
      <c r="W235" s="14"/>
      <c r="X235" s="14"/>
      <c r="Y235" s="14"/>
    </row>
    <row r="236" spans="2:27" x14ac:dyDescent="0.25">
      <c r="C236" s="32"/>
      <c r="D236" s="32"/>
      <c r="E236" s="32"/>
      <c r="J236" s="164"/>
      <c r="K236" s="14"/>
      <c r="L236" s="164"/>
      <c r="M236" s="14"/>
      <c r="N236" s="14"/>
      <c r="O236" s="14"/>
      <c r="P236" s="14"/>
      <c r="Q236" s="14"/>
      <c r="R236" s="14"/>
      <c r="S236" s="14"/>
      <c r="T236" s="14"/>
      <c r="U236" s="14"/>
      <c r="V236" s="14"/>
      <c r="W236" s="14"/>
      <c r="X236" s="14"/>
      <c r="Y236" s="14"/>
    </row>
    <row r="237" spans="2:27" x14ac:dyDescent="0.25">
      <c r="C237" s="32"/>
      <c r="D237" s="32"/>
      <c r="E237" t="s">
        <v>232</v>
      </c>
      <c r="G237" s="6" t="s">
        <v>55</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25">
      <c r="C238" s="32"/>
      <c r="D238" s="32"/>
      <c r="E238" s="32"/>
      <c r="J238" s="63"/>
      <c r="L238" s="63"/>
    </row>
    <row r="239" spans="2:27" x14ac:dyDescent="0.25">
      <c r="C239" s="32"/>
      <c r="D239" s="32"/>
      <c r="E239" t="s">
        <v>630</v>
      </c>
      <c r="G239" s="6" t="s">
        <v>55</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25">
      <c r="C240" s="32"/>
      <c r="D240" s="32"/>
      <c r="E240" s="32"/>
      <c r="J240" s="164"/>
      <c r="K240" s="14"/>
      <c r="L240" s="164"/>
      <c r="M240" s="14"/>
      <c r="N240" s="14"/>
      <c r="O240" s="14"/>
      <c r="P240" s="14"/>
      <c r="Q240" s="14"/>
      <c r="R240" s="14"/>
      <c r="S240" s="14"/>
      <c r="T240" s="14"/>
      <c r="U240" s="14"/>
      <c r="V240" s="14"/>
      <c r="W240" s="14"/>
      <c r="X240" s="14"/>
      <c r="Y240" s="14"/>
    </row>
    <row r="241" spans="2:27" x14ac:dyDescent="0.25">
      <c r="C241" s="32"/>
      <c r="D241" s="32"/>
      <c r="E241" t="s">
        <v>631</v>
      </c>
      <c r="G241" s="6" t="s">
        <v>55</v>
      </c>
      <c r="H241" s="103">
        <f>SUM(H239, H237)</f>
        <v>0</v>
      </c>
      <c r="J241" s="164"/>
      <c r="K241" s="14"/>
      <c r="L241" s="164"/>
      <c r="M241" s="14"/>
      <c r="N241" s="14"/>
      <c r="O241" s="14"/>
      <c r="P241" s="14"/>
      <c r="Q241" s="14"/>
      <c r="R241" s="14"/>
      <c r="S241" s="14"/>
      <c r="T241" s="14"/>
      <c r="U241" s="14"/>
      <c r="V241" s="14"/>
      <c r="W241" s="14"/>
      <c r="X241" s="14"/>
      <c r="Y241" s="14"/>
    </row>
    <row r="242" spans="2:27" x14ac:dyDescent="0.25">
      <c r="C242" s="32"/>
      <c r="D242" s="32"/>
      <c r="E242" s="32"/>
      <c r="J242" s="63"/>
      <c r="L242" s="63"/>
    </row>
    <row r="243" spans="2:27" x14ac:dyDescent="0.25">
      <c r="B243" s="30" t="s">
        <v>106</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1">
    <cfRule type="cellIs" dxfId="119" priority="21" operator="greaterThan">
      <formula>0</formula>
    </cfRule>
  </conditionalFormatting>
  <conditionalFormatting sqref="H237">
    <cfRule type="cellIs" dxfId="118" priority="19" operator="greaterThan">
      <formula>0</formula>
    </cfRule>
  </conditionalFormatting>
  <conditionalFormatting sqref="H241">
    <cfRule type="cellIs" dxfId="117" priority="18" operator="greaterThan">
      <formula>0</formula>
    </cfRule>
  </conditionalFormatting>
  <conditionalFormatting sqref="A4:I4 Z4:XFD4">
    <cfRule type="expression" dxfId="116" priority="17">
      <formula>LEFT($A$4,1) &lt;&gt; "0"</formula>
    </cfRule>
  </conditionalFormatting>
  <conditionalFormatting sqref="N239:P241">
    <cfRule type="cellIs" dxfId="115" priority="16" operator="greaterThan">
      <formula>0</formula>
    </cfRule>
  </conditionalFormatting>
  <conditionalFormatting sqref="N4:P4">
    <cfRule type="expression" dxfId="114" priority="15">
      <formula>LEFT($A$4,1) &lt;&gt; "0"</formula>
    </cfRule>
  </conditionalFormatting>
  <conditionalFormatting sqref="L239:M241">
    <cfRule type="cellIs" dxfId="113" priority="14" operator="greaterThan">
      <formula>0</formula>
    </cfRule>
  </conditionalFormatting>
  <conditionalFormatting sqref="L4:M4">
    <cfRule type="expression" dxfId="112" priority="13">
      <formula>LEFT($A$4,1) &lt;&gt; "0"</formula>
    </cfRule>
  </conditionalFormatting>
  <conditionalFormatting sqref="J239:K241">
    <cfRule type="cellIs" dxfId="111" priority="12" operator="greaterThan">
      <formula>0</formula>
    </cfRule>
  </conditionalFormatting>
  <conditionalFormatting sqref="J4:K4">
    <cfRule type="expression" dxfId="110" priority="11">
      <formula>LEFT($A$4,1) &lt;&gt; "0"</formula>
    </cfRule>
  </conditionalFormatting>
  <conditionalFormatting sqref="Q239:Q241">
    <cfRule type="cellIs" dxfId="109" priority="10" operator="greaterThan">
      <formula>0</formula>
    </cfRule>
  </conditionalFormatting>
  <conditionalFormatting sqref="Q4">
    <cfRule type="expression" dxfId="108" priority="9">
      <formula>LEFT($A$4,1) &lt;&gt; "0"</formula>
    </cfRule>
  </conditionalFormatting>
  <conditionalFormatting sqref="R239:S241">
    <cfRule type="cellIs" dxfId="107" priority="8" operator="greaterThan">
      <formula>0</formula>
    </cfRule>
  </conditionalFormatting>
  <conditionalFormatting sqref="R4:S4">
    <cfRule type="expression" dxfId="106" priority="7">
      <formula>LEFT($A$4,1) &lt;&gt; "0"</formula>
    </cfRule>
  </conditionalFormatting>
  <conditionalFormatting sqref="T239:U241">
    <cfRule type="cellIs" dxfId="105" priority="6" operator="greaterThan">
      <formula>0</formula>
    </cfRule>
  </conditionalFormatting>
  <conditionalFormatting sqref="T4:U4">
    <cfRule type="expression" dxfId="104" priority="5">
      <formula>LEFT($A$4,1) &lt;&gt; "0"</formula>
    </cfRule>
  </conditionalFormatting>
  <conditionalFormatting sqref="V239:W241">
    <cfRule type="cellIs" dxfId="103" priority="4" operator="greaterThan">
      <formula>0</formula>
    </cfRule>
  </conditionalFormatting>
  <conditionalFormatting sqref="V4:W4">
    <cfRule type="expression" dxfId="102" priority="3">
      <formula>LEFT($A$4,1) &lt;&gt; "0"</formula>
    </cfRule>
  </conditionalFormatting>
  <conditionalFormatting sqref="X239:Y241">
    <cfRule type="cellIs" dxfId="101" priority="2" operator="greaterThan">
      <formula>0</formula>
    </cfRule>
  </conditionalFormatting>
  <conditionalFormatting sqref="X4:Y4">
    <cfRule type="expression" dxfId="100" priority="1">
      <formula>LEFT($A$4,1) &lt;&gt; "0"</formula>
    </cfRule>
  </conditionalFormatting>
  <hyperlinks>
    <hyperlink ref="B5:F5" location="'Model map'!A1" display="Click here to return to model map" xr:uid="{00000000-0004-0000-11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4" tint="0.59999389629810485"/>
    <pageSetUpPr fitToPage="1"/>
  </sheetPr>
  <dimension ref="A1:KZ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H48 &amp; IF(H48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632</v>
      </c>
      <c r="D9"/>
      <c r="F9" s="29"/>
    </row>
    <row r="10" spans="1:27" x14ac:dyDescent="0.25">
      <c r="C10" s="29" t="s">
        <v>633</v>
      </c>
      <c r="D10"/>
      <c r="E10"/>
      <c r="F10" s="29"/>
    </row>
    <row r="11" spans="1:27" x14ac:dyDescent="0.25">
      <c r="C11" s="29" t="s">
        <v>634</v>
      </c>
    </row>
    <row r="13" spans="1:27" x14ac:dyDescent="0.25">
      <c r="B13" s="30" t="s">
        <v>635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25">
      <c r="C14" s="88"/>
    </row>
    <row r="15" spans="1:27" x14ac:dyDescent="0.25">
      <c r="B15" s="2"/>
      <c r="C15" s="29" t="s">
        <v>636</v>
      </c>
    </row>
    <row r="16" spans="1:27" x14ac:dyDescent="0.25">
      <c r="C16" s="88"/>
    </row>
    <row r="17" spans="2:27" x14ac:dyDescent="0.25">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25">
      <c r="C18" s="88"/>
    </row>
    <row r="19" spans="2:27" x14ac:dyDescent="0.25">
      <c r="D19"/>
      <c r="E19" s="28" t="s">
        <v>568</v>
      </c>
      <c r="F19" s="28"/>
      <c r="G19" s="28" t="s">
        <v>167</v>
      </c>
      <c r="H19" s="179">
        <f>'Unit costs'!$H$121</f>
        <v>4.8216791977211342E-2</v>
      </c>
      <c r="I19" s="3"/>
      <c r="J19" s="3"/>
      <c r="K19" s="3"/>
      <c r="L19" s="3"/>
      <c r="M19" s="3"/>
      <c r="N19" s="3"/>
      <c r="P19" s="3"/>
    </row>
    <row r="20" spans="2:27" x14ac:dyDescent="0.25">
      <c r="C20" s="88"/>
      <c r="E20" t="s">
        <v>598</v>
      </c>
      <c r="G20" t="s">
        <v>357</v>
      </c>
      <c r="H20" s="120">
        <f>'Unit costs'!$H$122</f>
        <v>88763537.645807087</v>
      </c>
    </row>
    <row r="21" spans="2:27" x14ac:dyDescent="0.25">
      <c r="C21" s="88"/>
      <c r="E21" t="s">
        <v>637</v>
      </c>
      <c r="G21" t="s">
        <v>357</v>
      </c>
      <c r="H21" s="120">
        <f>'Unit costs'!$H$123</f>
        <v>2188733271.1879463</v>
      </c>
    </row>
    <row r="22" spans="2:27" x14ac:dyDescent="0.25">
      <c r="D22" s="88"/>
      <c r="E22"/>
    </row>
    <row r="23" spans="2:27" x14ac:dyDescent="0.25">
      <c r="D23"/>
      <c r="E23" s="32" t="s">
        <v>638</v>
      </c>
      <c r="H23" s="63"/>
      <c r="J23" s="63"/>
      <c r="K23" s="63"/>
      <c r="L23" s="63"/>
      <c r="M23" s="63"/>
      <c r="N23" s="63"/>
    </row>
    <row r="24" spans="2:27" x14ac:dyDescent="0.25">
      <c r="D24"/>
      <c r="E24" s="29" t="s">
        <v>639</v>
      </c>
      <c r="H24" s="63"/>
    </row>
    <row r="25" spans="2:27" x14ac:dyDescent="0.25">
      <c r="E25" s="88"/>
      <c r="F25" s="23" t="s">
        <v>376</v>
      </c>
      <c r="G25" s="23" t="s">
        <v>261</v>
      </c>
      <c r="H25" s="174"/>
      <c r="I25" s="23"/>
      <c r="J25" s="124">
        <f>'Inputs by customer type'!J53</f>
        <v>323.73154823152947</v>
      </c>
      <c r="K25" s="124">
        <f>'Inputs by customer type'!K53</f>
        <v>0</v>
      </c>
      <c r="L25" s="124">
        <f>'Inputs by customer type'!L53</f>
        <v>585.77128282075012</v>
      </c>
      <c r="M25" s="124">
        <f>'Inputs by customer type'!M53</f>
        <v>0</v>
      </c>
      <c r="N25" s="124">
        <f>'Inputs by customer type'!N53</f>
        <v>2661.8972103252263</v>
      </c>
      <c r="O25" s="124">
        <f>'Inputs by customer type'!O53</f>
        <v>4932.2995876733112</v>
      </c>
      <c r="P25" s="124">
        <f>'Inputs by customer type'!P53</f>
        <v>0</v>
      </c>
      <c r="Q25" s="83"/>
      <c r="R25" s="124">
        <f>'Inputs by customer type'!R53</f>
        <v>0</v>
      </c>
      <c r="S25" s="124">
        <f>'Inputs by customer type'!S53</f>
        <v>0</v>
      </c>
      <c r="T25" s="124">
        <f>'Inputs by customer type'!T53</f>
        <v>0</v>
      </c>
      <c r="U25" s="124">
        <f>'Inputs by customer type'!U53</f>
        <v>0</v>
      </c>
      <c r="V25" s="124">
        <f>'Inputs by customer type'!V53</f>
        <v>0</v>
      </c>
      <c r="W25" s="124">
        <f>'Inputs by customer type'!W53</f>
        <v>0</v>
      </c>
      <c r="X25" s="124">
        <f>'Inputs by customer type'!X53</f>
        <v>0</v>
      </c>
      <c r="Y25" s="124">
        <f>'Inputs by customer type'!Y53</f>
        <v>0</v>
      </c>
    </row>
    <row r="26" spans="2:27" x14ac:dyDescent="0.25">
      <c r="E26" s="88"/>
      <c r="F26" t="s">
        <v>377</v>
      </c>
      <c r="G26" t="s">
        <v>261</v>
      </c>
      <c r="H26" s="51"/>
      <c r="J26" s="120">
        <f>'Inputs by customer type'!J54</f>
        <v>0</v>
      </c>
      <c r="K26" s="120">
        <f>'Inputs by customer type'!K54</f>
        <v>0</v>
      </c>
      <c r="L26" s="120">
        <f>'Inputs by customer type'!L54</f>
        <v>0</v>
      </c>
      <c r="M26" s="120">
        <f>'Inputs by customer type'!M54</f>
        <v>0</v>
      </c>
      <c r="N26" s="120">
        <f>'Inputs by customer type'!N54</f>
        <v>0</v>
      </c>
      <c r="O26" s="120">
        <f>'Inputs by customer type'!O54</f>
        <v>0</v>
      </c>
      <c r="P26" s="120">
        <f>'Inputs by customer type'!P54</f>
        <v>27651.512328111996</v>
      </c>
      <c r="Q26" s="79"/>
      <c r="R26" s="120">
        <f>'Inputs by customer type'!R54</f>
        <v>0</v>
      </c>
      <c r="S26" s="120">
        <f>'Inputs by customer type'!S54</f>
        <v>0</v>
      </c>
      <c r="T26" s="120">
        <f>'Inputs by customer type'!T54</f>
        <v>0</v>
      </c>
      <c r="U26" s="120">
        <f>'Inputs by customer type'!U54</f>
        <v>0</v>
      </c>
      <c r="V26" s="120">
        <f>'Inputs by customer type'!V54</f>
        <v>0</v>
      </c>
      <c r="W26" s="120">
        <f>'Inputs by customer type'!W54</f>
        <v>0</v>
      </c>
      <c r="X26" s="120">
        <f>'Inputs by customer type'!X54</f>
        <v>44850.570248000004</v>
      </c>
      <c r="Y26" s="120">
        <f>'Inputs by customer type'!Y54</f>
        <v>44850.570248000004</v>
      </c>
    </row>
    <row r="27" spans="2:27" x14ac:dyDescent="0.25">
      <c r="E27" s="88"/>
      <c r="F27" s="37" t="s">
        <v>553</v>
      </c>
      <c r="G27" s="37" t="s">
        <v>264</v>
      </c>
      <c r="H27" s="37"/>
      <c r="I27" s="37"/>
      <c r="J27" s="81"/>
      <c r="K27" s="81"/>
      <c r="L27" s="81"/>
      <c r="M27" s="81"/>
      <c r="N27" s="81"/>
      <c r="O27" s="81"/>
      <c r="P27" s="81"/>
      <c r="Q27" s="125">
        <f>'Inputs by customer type'!Q56</f>
        <v>524.30183498999338</v>
      </c>
      <c r="R27" s="81"/>
      <c r="S27" s="81"/>
      <c r="T27" s="81"/>
      <c r="U27" s="81"/>
      <c r="V27" s="81"/>
      <c r="W27" s="81"/>
      <c r="X27" s="81"/>
      <c r="Y27" s="81"/>
    </row>
    <row r="28" spans="2:27" x14ac:dyDescent="0.25">
      <c r="D28" s="88"/>
      <c r="E28"/>
    </row>
    <row r="29" spans="2:27" x14ac:dyDescent="0.25">
      <c r="B29" s="30" t="s">
        <v>640</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25">
      <c r="C30" s="88"/>
    </row>
    <row r="31" spans="2:27" x14ac:dyDescent="0.25">
      <c r="C31" s="29" t="s">
        <v>641</v>
      </c>
    </row>
    <row r="32" spans="2:27" x14ac:dyDescent="0.25">
      <c r="C32" s="88"/>
    </row>
    <row r="33" spans="2:27" x14ac:dyDescent="0.25">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25">
      <c r="C34" s="88"/>
    </row>
    <row r="35" spans="2:27" x14ac:dyDescent="0.25">
      <c r="D35"/>
      <c r="E35" t="s">
        <v>642</v>
      </c>
      <c r="G35" t="s">
        <v>277</v>
      </c>
      <c r="H35" s="98">
        <f>IF(H21 &lt;&gt; 0, H20  /H21, 0)</f>
        <v>4.0554753205551727E-2</v>
      </c>
      <c r="I35" t="s">
        <v>154</v>
      </c>
      <c r="J35" s="63"/>
      <c r="K35" s="63"/>
      <c r="L35" s="63"/>
      <c r="M35" s="63"/>
      <c r="N35" s="63"/>
      <c r="O35" s="63"/>
      <c r="P35" s="63"/>
      <c r="Q35" s="63"/>
      <c r="R35" s="63"/>
      <c r="S35" s="63"/>
      <c r="T35" s="63"/>
      <c r="U35" s="63"/>
      <c r="V35" s="63"/>
      <c r="W35" s="63"/>
      <c r="X35" s="63"/>
      <c r="Y35" s="63"/>
      <c r="AA35" t="s">
        <v>643</v>
      </c>
    </row>
    <row r="36" spans="2:27" x14ac:dyDescent="0.25">
      <c r="D36" s="88"/>
      <c r="E36"/>
      <c r="J36" s="63"/>
      <c r="K36" s="63"/>
      <c r="L36" s="63"/>
      <c r="M36" s="63"/>
      <c r="N36" s="63"/>
      <c r="O36" s="63"/>
      <c r="P36" s="63"/>
      <c r="Q36" s="63"/>
      <c r="R36" s="63"/>
      <c r="S36" s="63"/>
      <c r="T36" s="63"/>
      <c r="U36" s="63"/>
      <c r="V36" s="63"/>
      <c r="W36" s="63"/>
      <c r="X36" s="63"/>
      <c r="Y36" s="63"/>
    </row>
    <row r="37" spans="2:27" x14ac:dyDescent="0.25">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25">
      <c r="C38" s="88"/>
    </row>
    <row r="39" spans="2:27" x14ac:dyDescent="0.25">
      <c r="D39"/>
      <c r="E39" s="29" t="s">
        <v>644</v>
      </c>
      <c r="H39" s="63"/>
      <c r="J39" s="63"/>
      <c r="K39" s="63"/>
      <c r="L39" s="63"/>
      <c r="M39" s="63"/>
      <c r="N39" s="63"/>
      <c r="O39" s="63"/>
      <c r="P39" s="63"/>
      <c r="Q39" s="63"/>
      <c r="R39" s="63"/>
      <c r="S39" s="63"/>
      <c r="T39" s="63"/>
      <c r="U39" s="63"/>
      <c r="V39" s="63"/>
      <c r="W39" s="63"/>
      <c r="X39" s="63"/>
      <c r="Y39" s="63"/>
    </row>
    <row r="40" spans="2:27" x14ac:dyDescent="0.25">
      <c r="D40"/>
      <c r="E40" s="29"/>
      <c r="H40" s="63"/>
      <c r="J40" s="63"/>
      <c r="K40" s="63"/>
      <c r="L40" s="63"/>
      <c r="M40" s="63"/>
      <c r="N40" s="63"/>
      <c r="O40" s="63"/>
      <c r="P40" s="63"/>
      <c r="Q40" s="63"/>
      <c r="R40" s="63"/>
      <c r="S40" s="63"/>
      <c r="T40" s="63"/>
      <c r="U40" s="63"/>
      <c r="V40" s="63"/>
      <c r="W40" s="63"/>
      <c r="X40" s="63"/>
      <c r="Y40" s="63"/>
    </row>
    <row r="41" spans="2:27" x14ac:dyDescent="0.25">
      <c r="D41"/>
      <c r="E41" s="32" t="s">
        <v>645</v>
      </c>
      <c r="H41" s="63"/>
      <c r="I41" t="s">
        <v>154</v>
      </c>
      <c r="J41" s="63"/>
      <c r="K41" s="63"/>
      <c r="L41" s="63"/>
      <c r="M41" s="63"/>
      <c r="N41" s="63"/>
      <c r="O41" s="63"/>
      <c r="P41" s="63"/>
      <c r="Q41" s="63"/>
      <c r="R41" s="63"/>
      <c r="S41" s="63"/>
      <c r="T41" s="63"/>
      <c r="U41" s="63"/>
      <c r="V41" s="63"/>
      <c r="W41" s="63"/>
      <c r="X41" s="63"/>
      <c r="Y41" s="63"/>
      <c r="AA41" t="s">
        <v>646</v>
      </c>
    </row>
    <row r="42" spans="2:27" x14ac:dyDescent="0.25">
      <c r="D42"/>
      <c r="E42" s="88"/>
      <c r="F42" s="23" t="s">
        <v>376</v>
      </c>
      <c r="G42" s="23" t="s">
        <v>270</v>
      </c>
      <c r="H42" s="174"/>
      <c r="I42" s="23"/>
      <c r="J42" s="101">
        <f t="shared" ref="J42:K42" si="0">J25 * $H$35 / days_in_year * hundred</f>
        <v>3.5969460392824226</v>
      </c>
      <c r="K42" s="101">
        <f t="shared" si="0"/>
        <v>0</v>
      </c>
      <c r="L42" s="101">
        <f t="shared" ref="L42:M42" si="1">L25 * $H$35 / days_in_year * hundred</f>
        <v>6.508441043752045</v>
      </c>
      <c r="M42" s="101">
        <f t="shared" si="1"/>
        <v>0</v>
      </c>
      <c r="N42" s="101">
        <f t="shared" ref="N42:P42" si="2">N25 * $H$35 / days_in_year * hundred</f>
        <v>29.576050526927716</v>
      </c>
      <c r="O42" s="101">
        <f t="shared" si="2"/>
        <v>54.802244524365939</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25">
      <c r="D43"/>
      <c r="E43" s="88"/>
      <c r="F43" t="s">
        <v>377</v>
      </c>
      <c r="G43" t="s">
        <v>270</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307.23294745941183</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498.32981028380851</v>
      </c>
      <c r="Y43" s="121">
        <f t="shared" si="13"/>
        <v>498.32981028380851</v>
      </c>
    </row>
    <row r="44" spans="2:27" x14ac:dyDescent="0.25">
      <c r="D44"/>
      <c r="E44" s="88"/>
      <c r="F44" s="37" t="s">
        <v>553</v>
      </c>
      <c r="G44" s="37" t="s">
        <v>269</v>
      </c>
      <c r="H44" s="276"/>
      <c r="I44" s="276"/>
      <c r="J44" s="277"/>
      <c r="K44" s="277"/>
      <c r="L44" s="277"/>
      <c r="M44" s="277"/>
      <c r="N44" s="277"/>
      <c r="O44" s="277"/>
      <c r="P44" s="277"/>
      <c r="Q44" s="285">
        <f t="shared" ref="Q44" si="14">Q27*$H$35/ten</f>
        <v>2.1262931523237087</v>
      </c>
      <c r="R44" s="277"/>
      <c r="S44" s="277"/>
      <c r="T44" s="277"/>
      <c r="U44" s="277"/>
      <c r="V44" s="277"/>
      <c r="W44" s="277"/>
      <c r="X44" s="277"/>
      <c r="Y44" s="277"/>
      <c r="Z44" s="272"/>
      <c r="AA44" s="272"/>
    </row>
    <row r="45" spans="2:27" x14ac:dyDescent="0.25">
      <c r="D45" s="88"/>
      <c r="E45"/>
    </row>
    <row r="46" spans="2:27" x14ac:dyDescent="0.25">
      <c r="B46" s="30" t="s">
        <v>231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25">
      <c r="E48" t="s">
        <v>232</v>
      </c>
      <c r="G48" s="6" t="s">
        <v>55</v>
      </c>
      <c r="H48" s="26">
        <f t="array" ref="H48">SUM(IF(ISERROR(H19:Y45), 1))</f>
        <v>0</v>
      </c>
    </row>
    <row r="50" spans="2:27" x14ac:dyDescent="0.25">
      <c r="B50" s="30" t="s">
        <v>106</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H48">
    <cfRule type="cellIs" dxfId="99" priority="10" operator="greaterThan">
      <formula>0</formula>
    </cfRule>
  </conditionalFormatting>
  <conditionalFormatting sqref="A4:I4 Z4:XFD4">
    <cfRule type="expression" dxfId="98" priority="9">
      <formula>LEFT($A$4,1) &lt;&gt; "0"</formula>
    </cfRule>
  </conditionalFormatting>
  <conditionalFormatting sqref="N4:P4">
    <cfRule type="expression" dxfId="97" priority="8">
      <formula>LEFT($A$4,1) &lt;&gt; "0"</formula>
    </cfRule>
  </conditionalFormatting>
  <conditionalFormatting sqref="L4:M4">
    <cfRule type="expression" dxfId="96" priority="7">
      <formula>LEFT($A$4,1) &lt;&gt; "0"</formula>
    </cfRule>
  </conditionalFormatting>
  <conditionalFormatting sqref="J4:K4">
    <cfRule type="expression" dxfId="95" priority="6">
      <formula>LEFT($A$4,1) &lt;&gt; "0"</formula>
    </cfRule>
  </conditionalFormatting>
  <conditionalFormatting sqref="Q4">
    <cfRule type="expression" dxfId="94" priority="5">
      <formula>LEFT($A$4,1) &lt;&gt; "0"</formula>
    </cfRule>
  </conditionalFormatting>
  <conditionalFormatting sqref="R4:S4">
    <cfRule type="expression" dxfId="93" priority="4">
      <formula>LEFT($A$4,1) &lt;&gt; "0"</formula>
    </cfRule>
  </conditionalFormatting>
  <conditionalFormatting sqref="T4:U4">
    <cfRule type="expression" dxfId="92" priority="3">
      <formula>LEFT($A$4,1) &lt;&gt; "0"</formula>
    </cfRule>
  </conditionalFormatting>
  <conditionalFormatting sqref="V4:W4">
    <cfRule type="expression" dxfId="91" priority="2">
      <formula>LEFT($A$4,1) &lt;&gt; "0"</formula>
    </cfRule>
  </conditionalFormatting>
  <conditionalFormatting sqref="X4:Y4">
    <cfRule type="expression" dxfId="90" priority="1">
      <formula>LEFT($A$4,1) &lt;&gt; "0"</formula>
    </cfRule>
  </conditionalFormatting>
  <hyperlinks>
    <hyperlink ref="B5:F5" location="'Model map'!A1" display="Click here to return to model map" xr:uid="{00000000-0004-0000-12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sheetPr>
  <dimension ref="A1:M75"/>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7109375" style="6" customWidth="1"/>
    <col min="7" max="7" width="22.7109375" style="6" customWidth="1"/>
    <col min="8" max="8" width="24.28515625" style="6" customWidth="1"/>
    <col min="9" max="9" width="30.7109375" style="6" customWidth="1"/>
    <col min="10" max="10" width="19.42578125" style="6" bestFit="1" customWidth="1"/>
    <col min="11" max="11" width="10.5703125" style="6" customWidth="1"/>
    <col min="12" max="12" width="82.5703125" style="6" customWidth="1"/>
    <col min="13" max="13" width="2.5703125" style="6" customWidth="1"/>
    <col min="14" max="16384" width="9.28515625" style="6" hidden="1"/>
  </cols>
  <sheetData>
    <row r="1" spans="1:13" s="1" customFormat="1" x14ac:dyDescent="0.25">
      <c r="A1" s="1" t="str">
        <f ca="1">MID(CELL("filename",A1),FIND("]",CELL("filename",A1))+1,255)</f>
        <v>Version control</v>
      </c>
    </row>
    <row r="2" spans="1:13" s="1" customFormat="1" x14ac:dyDescent="0.25">
      <c r="A2" s="1" t="str">
        <f>Cover!D21&amp;" - "&amp;Cover!D23</f>
        <v xml:space="preserve">SHEPD  - Final </v>
      </c>
    </row>
    <row r="3" spans="1:13" s="5" customFormat="1" x14ac:dyDescent="0.25">
      <c r="A3" s="5" t="str">
        <f>Cover!D2&amp;" - "&amp;Cover!D8&amp;" v"&amp;Cover!D10&amp;" - "&amp;Cover!D19</f>
        <v>CDCM charging model - Release for charge setting v5 - 2021/22</v>
      </c>
    </row>
    <row r="4" spans="1:13" customFormat="1" x14ac:dyDescent="0.25">
      <c r="A4" s="12" t="str">
        <f>J58 &amp; IF(J58 = 1, " issue", " issues") &amp;" identified in checks on this sheet"</f>
        <v>0 issues identified in checks on this sheet</v>
      </c>
      <c r="B4" s="13"/>
      <c r="C4" s="13"/>
      <c r="D4" s="13"/>
      <c r="E4" s="13"/>
      <c r="F4" s="13"/>
      <c r="G4" s="13"/>
      <c r="H4" s="14"/>
      <c r="I4" s="14"/>
      <c r="J4" s="13"/>
    </row>
    <row r="5" spans="1:13" x14ac:dyDescent="0.25">
      <c r="A5" s="40"/>
      <c r="B5" s="41" t="s">
        <v>32</v>
      </c>
      <c r="C5" s="41"/>
      <c r="D5" s="41"/>
      <c r="E5" s="41"/>
      <c r="F5" s="41"/>
      <c r="G5" s="42"/>
      <c r="H5" s="42"/>
      <c r="I5" s="42"/>
      <c r="J5" s="42"/>
      <c r="K5" s="42"/>
      <c r="L5" s="41"/>
    </row>
    <row r="6" spans="1:13" x14ac:dyDescent="0.25">
      <c r="A6" s="40"/>
      <c r="B6" s="40"/>
      <c r="C6" s="40"/>
      <c r="D6" s="40"/>
      <c r="E6" s="40"/>
      <c r="F6" s="40"/>
      <c r="G6" s="43"/>
      <c r="H6" s="43"/>
      <c r="I6" s="43"/>
      <c r="J6" s="43"/>
      <c r="K6" s="43"/>
      <c r="L6" s="40"/>
    </row>
    <row r="7" spans="1:13" x14ac:dyDescent="0.25">
      <c r="A7" s="40"/>
      <c r="B7" s="40"/>
      <c r="C7" s="40"/>
      <c r="D7" s="40"/>
      <c r="F7" s="40" t="s">
        <v>33</v>
      </c>
      <c r="H7" s="10">
        <f>LOOKUP(2,1/(F20:F30&lt;&gt;""),F20:F30)</f>
        <v>43777</v>
      </c>
      <c r="I7" s="44"/>
      <c r="J7" s="44"/>
      <c r="K7" s="40"/>
      <c r="L7" s="40"/>
    </row>
    <row r="8" spans="1:13" x14ac:dyDescent="0.25">
      <c r="A8" s="40"/>
      <c r="B8" s="40"/>
      <c r="C8" s="40"/>
      <c r="D8" s="40"/>
      <c r="F8" s="40"/>
      <c r="H8" s="40"/>
      <c r="I8" s="43"/>
      <c r="J8" s="43"/>
      <c r="K8" s="40"/>
      <c r="L8" s="40"/>
    </row>
    <row r="9" spans="1:13" x14ac:dyDescent="0.25">
      <c r="A9" s="40"/>
      <c r="B9" s="40"/>
      <c r="C9" s="40"/>
      <c r="D9" s="40"/>
      <c r="F9" s="40" t="s">
        <v>34</v>
      </c>
      <c r="H9" s="45" t="str">
        <f>LOOKUP(2,1/(G20:G30&lt;&gt;""),G20:G30)</f>
        <v>Release for charge setting</v>
      </c>
      <c r="I9" s="46"/>
      <c r="J9" s="46"/>
      <c r="K9" s="40"/>
      <c r="L9" s="40"/>
    </row>
    <row r="10" spans="1:13" x14ac:dyDescent="0.25">
      <c r="A10" s="40"/>
      <c r="B10" s="40"/>
      <c r="C10" s="40"/>
      <c r="D10" s="40"/>
      <c r="F10" s="40"/>
      <c r="H10" s="40"/>
      <c r="I10" s="40"/>
      <c r="J10" s="40"/>
      <c r="K10" s="40"/>
      <c r="L10" s="40"/>
    </row>
    <row r="11" spans="1:13" x14ac:dyDescent="0.25">
      <c r="A11" s="40"/>
      <c r="B11" s="40"/>
      <c r="C11" s="40"/>
      <c r="D11" s="40"/>
      <c r="F11" s="309" t="s">
        <v>935</v>
      </c>
      <c r="H11" s="45">
        <f>LOOKUP(2,1/(H20:H30&lt;&gt;""),H20:H30)</f>
        <v>5</v>
      </c>
      <c r="I11" s="46"/>
      <c r="J11" s="46"/>
      <c r="K11" s="40"/>
      <c r="L11" s="40"/>
    </row>
    <row r="12" spans="1:13" x14ac:dyDescent="0.25">
      <c r="A12" s="40"/>
      <c r="B12" s="40"/>
      <c r="C12" s="40"/>
      <c r="D12" s="40"/>
      <c r="F12" s="40"/>
      <c r="H12" s="40"/>
      <c r="I12" s="43"/>
      <c r="J12" s="43"/>
      <c r="K12" s="40"/>
      <c r="L12" s="40"/>
    </row>
    <row r="13" spans="1:13" customFormat="1" x14ac:dyDescent="0.25">
      <c r="A13" s="9"/>
      <c r="B13" s="9"/>
      <c r="C13" s="9"/>
      <c r="D13" s="9"/>
      <c r="E13" s="6"/>
      <c r="F13" s="40" t="s">
        <v>35</v>
      </c>
      <c r="H13" s="10" t="str">
        <f>LOOKUP(2,1/(I20:I30&lt;&gt;""),I20:I30)</f>
        <v>Attachment A_01 April 2021 Charging Methodologies Pre-Release_Issued October 2019 (shared 10/10/2019)</v>
      </c>
      <c r="I13" s="11"/>
      <c r="J13" s="11"/>
      <c r="K13" s="11"/>
      <c r="L13" s="9"/>
      <c r="M13" s="9"/>
    </row>
    <row r="14" spans="1:13" customFormat="1" x14ac:dyDescent="0.25">
      <c r="A14" s="9"/>
      <c r="B14" s="9"/>
      <c r="C14" s="9"/>
      <c r="D14" s="9"/>
      <c r="E14" s="6"/>
      <c r="F14" s="9"/>
      <c r="I14" s="11"/>
      <c r="J14" s="11"/>
      <c r="K14" s="11"/>
      <c r="L14" s="9"/>
      <c r="M14" s="9"/>
    </row>
    <row r="15" spans="1:13" x14ac:dyDescent="0.25">
      <c r="A15" s="40"/>
      <c r="B15" s="40"/>
      <c r="C15" s="40"/>
      <c r="D15" s="40"/>
      <c r="F15" s="40" t="s">
        <v>36</v>
      </c>
      <c r="H15" s="45" t="str">
        <f>LOOKUP(2,1/(J20:J30&lt;&gt;""),J20:J30)</f>
        <v>Schedule 16</v>
      </c>
      <c r="I15" s="43"/>
      <c r="J15" s="43"/>
      <c r="K15" s="40"/>
      <c r="L15" s="40"/>
    </row>
    <row r="16" spans="1:13" x14ac:dyDescent="0.25">
      <c r="A16" s="40"/>
      <c r="B16" s="40"/>
      <c r="C16" s="40"/>
      <c r="D16" s="40"/>
      <c r="E16" s="40"/>
      <c r="F16" s="40"/>
      <c r="H16" s="43"/>
      <c r="I16" s="43"/>
      <c r="J16" s="43"/>
      <c r="K16" s="40"/>
      <c r="L16" s="40"/>
    </row>
    <row r="17" spans="1:12" x14ac:dyDescent="0.25">
      <c r="A17" s="40"/>
      <c r="B17" s="41" t="s">
        <v>37</v>
      </c>
      <c r="C17" s="41"/>
      <c r="D17" s="41"/>
      <c r="E17" s="41"/>
      <c r="F17" s="41"/>
      <c r="G17" s="42"/>
      <c r="H17" s="42"/>
      <c r="I17" s="42"/>
      <c r="J17" s="42"/>
      <c r="K17" s="42"/>
      <c r="L17" s="41"/>
    </row>
    <row r="18" spans="1:12" x14ac:dyDescent="0.25">
      <c r="A18" s="40"/>
      <c r="B18" s="40"/>
      <c r="C18" s="40"/>
      <c r="D18" s="40"/>
      <c r="E18" s="40"/>
      <c r="F18" s="40"/>
      <c r="G18" s="43"/>
      <c r="H18" s="40"/>
      <c r="I18" s="40"/>
      <c r="J18" s="40"/>
      <c r="K18" s="40"/>
      <c r="L18" s="40"/>
    </row>
    <row r="19" spans="1:12" x14ac:dyDescent="0.25">
      <c r="A19" s="40"/>
      <c r="B19" s="40"/>
      <c r="C19" s="40"/>
      <c r="D19" s="40"/>
      <c r="E19" s="40"/>
      <c r="F19" s="47" t="s">
        <v>38</v>
      </c>
      <c r="G19" s="48" t="s">
        <v>39</v>
      </c>
      <c r="H19" s="47" t="s">
        <v>932</v>
      </c>
      <c r="I19" s="48" t="s">
        <v>40</v>
      </c>
      <c r="J19" s="48" t="s">
        <v>41</v>
      </c>
      <c r="K19" s="48" t="s">
        <v>42</v>
      </c>
      <c r="L19" s="48" t="s">
        <v>43</v>
      </c>
    </row>
    <row r="20" spans="1:12" ht="30" x14ac:dyDescent="0.25">
      <c r="A20" s="40"/>
      <c r="B20" s="40"/>
      <c r="C20" s="40"/>
      <c r="D20" s="40"/>
      <c r="E20" s="40"/>
      <c r="F20" s="249">
        <v>43250</v>
      </c>
      <c r="G20" s="245" t="s">
        <v>44</v>
      </c>
      <c r="H20" s="245">
        <v>1</v>
      </c>
      <c r="I20" s="245" t="s">
        <v>45</v>
      </c>
      <c r="J20" s="245" t="s">
        <v>46</v>
      </c>
      <c r="K20" s="245" t="s">
        <v>47</v>
      </c>
      <c r="L20" s="245" t="s">
        <v>48</v>
      </c>
    </row>
    <row r="21" spans="1:12" ht="30" x14ac:dyDescent="0.25">
      <c r="A21" s="40"/>
      <c r="B21" s="40"/>
      <c r="C21" s="40"/>
      <c r="D21" s="40"/>
      <c r="E21" s="40"/>
      <c r="F21" s="249">
        <v>43301</v>
      </c>
      <c r="G21" s="245" t="s">
        <v>44</v>
      </c>
      <c r="H21" s="245">
        <v>2</v>
      </c>
      <c r="I21" s="245" t="s">
        <v>49</v>
      </c>
      <c r="J21" s="245" t="s">
        <v>46</v>
      </c>
      <c r="K21" s="245" t="s">
        <v>47</v>
      </c>
      <c r="L21" s="245" t="s">
        <v>50</v>
      </c>
    </row>
    <row r="22" spans="1:12" ht="45" x14ac:dyDescent="0.25">
      <c r="A22" s="40"/>
      <c r="B22" s="40"/>
      <c r="C22" s="40"/>
      <c r="D22" s="40"/>
      <c r="E22" s="40"/>
      <c r="F22" s="249">
        <v>43389</v>
      </c>
      <c r="G22" s="245" t="s">
        <v>933</v>
      </c>
      <c r="H22" s="245">
        <v>3</v>
      </c>
      <c r="I22" s="307" t="s">
        <v>934</v>
      </c>
      <c r="J22" s="307" t="s">
        <v>46</v>
      </c>
      <c r="K22" s="307" t="s">
        <v>47</v>
      </c>
      <c r="L22" s="307" t="s">
        <v>936</v>
      </c>
    </row>
    <row r="23" spans="1:12" ht="60" x14ac:dyDescent="0.25">
      <c r="A23" s="40"/>
      <c r="B23" s="40"/>
      <c r="C23" s="40"/>
      <c r="D23" s="40"/>
      <c r="E23" s="40"/>
      <c r="F23" s="249">
        <v>43663</v>
      </c>
      <c r="G23" s="245" t="s">
        <v>44</v>
      </c>
      <c r="H23" s="245">
        <v>4</v>
      </c>
      <c r="I23" s="245" t="s">
        <v>1017</v>
      </c>
      <c r="J23" s="307" t="s">
        <v>46</v>
      </c>
      <c r="K23" s="307" t="s">
        <v>47</v>
      </c>
      <c r="L23" s="245" t="s">
        <v>1018</v>
      </c>
    </row>
    <row r="24" spans="1:12" ht="60" x14ac:dyDescent="0.25">
      <c r="A24" s="40"/>
      <c r="B24" s="40"/>
      <c r="C24" s="40"/>
      <c r="D24" s="40"/>
      <c r="E24" s="40"/>
      <c r="F24" s="249">
        <v>43777</v>
      </c>
      <c r="G24" s="245" t="s">
        <v>933</v>
      </c>
      <c r="H24" s="245">
        <v>5</v>
      </c>
      <c r="I24" s="245" t="s">
        <v>1071</v>
      </c>
      <c r="J24" s="245" t="s">
        <v>46</v>
      </c>
      <c r="K24" s="245" t="s">
        <v>47</v>
      </c>
      <c r="L24" s="307" t="s">
        <v>1063</v>
      </c>
    </row>
    <row r="25" spans="1:12" x14ac:dyDescent="0.25">
      <c r="A25" s="40"/>
      <c r="B25" s="40"/>
      <c r="C25" s="40"/>
      <c r="D25" s="40"/>
      <c r="E25" s="40"/>
      <c r="F25" s="249"/>
      <c r="G25" s="245"/>
      <c r="H25" s="245"/>
      <c r="I25" s="245"/>
      <c r="J25" s="245"/>
      <c r="K25" s="245"/>
      <c r="L25" s="245"/>
    </row>
    <row r="26" spans="1:12" x14ac:dyDescent="0.25">
      <c r="A26" s="40"/>
      <c r="B26" s="40"/>
      <c r="C26" s="40"/>
      <c r="D26" s="40"/>
      <c r="E26" s="40"/>
      <c r="F26" s="249"/>
      <c r="G26" s="245"/>
      <c r="H26" s="245"/>
      <c r="I26" s="245"/>
      <c r="J26" s="245"/>
      <c r="K26" s="245"/>
      <c r="L26" s="245"/>
    </row>
    <row r="27" spans="1:12" x14ac:dyDescent="0.25">
      <c r="A27" s="40"/>
      <c r="B27" s="40"/>
      <c r="C27" s="40"/>
      <c r="D27" s="40"/>
      <c r="E27" s="40"/>
      <c r="F27" s="249"/>
      <c r="G27" s="245"/>
      <c r="H27" s="245"/>
      <c r="I27" s="245"/>
      <c r="J27" s="245"/>
      <c r="K27" s="245"/>
      <c r="L27" s="245"/>
    </row>
    <row r="28" spans="1:12" x14ac:dyDescent="0.25">
      <c r="A28" s="40"/>
      <c r="B28" s="40"/>
      <c r="C28" s="40"/>
      <c r="D28" s="40"/>
      <c r="E28" s="40"/>
      <c r="F28" s="249"/>
      <c r="G28" s="245"/>
      <c r="H28" s="245"/>
      <c r="I28" s="245"/>
      <c r="J28" s="245"/>
      <c r="K28" s="245"/>
      <c r="L28" s="245"/>
    </row>
    <row r="29" spans="1:12" x14ac:dyDescent="0.25">
      <c r="A29" s="40"/>
      <c r="B29" s="40"/>
      <c r="C29" s="40"/>
      <c r="D29" s="40"/>
      <c r="E29" s="40"/>
      <c r="F29" s="249"/>
      <c r="G29" s="245"/>
      <c r="H29" s="245"/>
      <c r="I29" s="245"/>
      <c r="J29" s="245"/>
      <c r="K29" s="245"/>
      <c r="L29" s="245"/>
    </row>
    <row r="31" spans="1:12" x14ac:dyDescent="0.25">
      <c r="B31" s="41" t="s">
        <v>51</v>
      </c>
      <c r="C31" s="41"/>
      <c r="D31" s="41"/>
      <c r="E31" s="41"/>
      <c r="F31" s="41"/>
      <c r="G31" s="42"/>
      <c r="H31" s="42"/>
      <c r="I31" s="42"/>
      <c r="J31" s="42"/>
      <c r="K31" s="42"/>
      <c r="L31" s="41"/>
    </row>
    <row r="33" spans="5:10" x14ac:dyDescent="0.25">
      <c r="E33" s="32" t="s">
        <v>52</v>
      </c>
      <c r="F33" s="49"/>
      <c r="G33" s="50"/>
      <c r="H33" s="50"/>
      <c r="I33" s="50"/>
      <c r="J33" s="50"/>
    </row>
    <row r="34" spans="5:10" x14ac:dyDescent="0.25">
      <c r="F34" s="6" t="s">
        <v>53</v>
      </c>
      <c r="H34" s="247" t="s">
        <v>54</v>
      </c>
      <c r="I34" s="6" t="s">
        <v>55</v>
      </c>
      <c r="J34" s="51">
        <f>'Fixed inputs'!H172</f>
        <v>0</v>
      </c>
    </row>
    <row r="35" spans="5:10" x14ac:dyDescent="0.25">
      <c r="F35" s="6" t="s">
        <v>56</v>
      </c>
      <c r="H35" s="247" t="s">
        <v>57</v>
      </c>
      <c r="I35" s="6" t="s">
        <v>55</v>
      </c>
      <c r="J35" s="51">
        <f>'Inputs by customer type'!H84</f>
        <v>0</v>
      </c>
    </row>
    <row r="36" spans="5:10" x14ac:dyDescent="0.25">
      <c r="F36" s="6" t="s">
        <v>58</v>
      </c>
      <c r="H36" s="247" t="s">
        <v>59</v>
      </c>
      <c r="I36" s="6" t="s">
        <v>55</v>
      </c>
      <c r="J36" s="52">
        <f>'Inputs by network level'!H56</f>
        <v>0</v>
      </c>
    </row>
    <row r="37" spans="5:10" x14ac:dyDescent="0.25">
      <c r="F37" s="6" t="s">
        <v>60</v>
      </c>
      <c r="H37" s="247" t="s">
        <v>61</v>
      </c>
      <c r="I37" s="6" t="s">
        <v>55</v>
      </c>
      <c r="J37" s="51">
        <f>'General inputs'!H114</f>
        <v>0</v>
      </c>
    </row>
    <row r="38" spans="5:10" x14ac:dyDescent="0.25">
      <c r="F38" s="6" t="s">
        <v>62</v>
      </c>
      <c r="H38" s="247" t="s">
        <v>63</v>
      </c>
      <c r="I38" s="6" t="s">
        <v>55</v>
      </c>
      <c r="J38" s="52">
        <f>'Standing charge factors'!H58</f>
        <v>0</v>
      </c>
    </row>
    <row r="39" spans="5:10" x14ac:dyDescent="0.25">
      <c r="F39" s="6" t="s">
        <v>64</v>
      </c>
      <c r="H39" s="247" t="s">
        <v>65</v>
      </c>
      <c r="I39" s="6" t="s">
        <v>55</v>
      </c>
      <c r="J39" s="52">
        <f>'Load &amp; loss characteristics'!H183</f>
        <v>0</v>
      </c>
    </row>
    <row r="40" spans="5:10" x14ac:dyDescent="0.25">
      <c r="F40" s="6" t="s">
        <v>66</v>
      </c>
      <c r="H40" s="247" t="s">
        <v>67</v>
      </c>
      <c r="I40" s="6" t="s">
        <v>55</v>
      </c>
      <c r="J40" s="52">
        <f>'Customer contributions'!H70</f>
        <v>0</v>
      </c>
    </row>
    <row r="41" spans="5:10" x14ac:dyDescent="0.25">
      <c r="F41" s="6" t="s">
        <v>68</v>
      </c>
      <c r="H41" s="247" t="s">
        <v>69</v>
      </c>
      <c r="I41" s="6" t="s">
        <v>55</v>
      </c>
      <c r="J41" s="52">
        <f>'Volume adjustments'!H140</f>
        <v>0</v>
      </c>
    </row>
    <row r="42" spans="5:10" x14ac:dyDescent="0.25">
      <c r="F42" s="6" t="s">
        <v>70</v>
      </c>
      <c r="H42" s="247" t="s">
        <v>71</v>
      </c>
      <c r="I42" s="6" t="s">
        <v>55</v>
      </c>
      <c r="J42" s="52">
        <f>'Pseudo-load coefficients'!H306</f>
        <v>0</v>
      </c>
    </row>
    <row r="43" spans="5:10" x14ac:dyDescent="0.25">
      <c r="F43" s="6" t="s">
        <v>72</v>
      </c>
      <c r="H43" s="247" t="s">
        <v>73</v>
      </c>
      <c r="I43" s="6" t="s">
        <v>55</v>
      </c>
      <c r="J43" s="52">
        <f>'System peak demand'!H281</f>
        <v>0</v>
      </c>
    </row>
    <row r="44" spans="5:10" x14ac:dyDescent="0.25">
      <c r="F44" s="6" t="s">
        <v>74</v>
      </c>
      <c r="H44" s="247" t="s">
        <v>75</v>
      </c>
      <c r="I44" s="6" t="s">
        <v>55</v>
      </c>
      <c r="J44" s="52">
        <f>'Service model assets'!H38</f>
        <v>0</v>
      </c>
    </row>
    <row r="45" spans="5:10" x14ac:dyDescent="0.25">
      <c r="F45" s="6" t="s">
        <v>76</v>
      </c>
      <c r="H45" s="247" t="s">
        <v>77</v>
      </c>
      <c r="I45" s="6" t="s">
        <v>55</v>
      </c>
      <c r="J45" s="52">
        <f>'Unit costs'!H131</f>
        <v>0</v>
      </c>
    </row>
    <row r="46" spans="5:10" x14ac:dyDescent="0.25">
      <c r="F46" s="6" t="s">
        <v>78</v>
      </c>
      <c r="H46" s="247" t="s">
        <v>79</v>
      </c>
      <c r="I46" s="6" t="s">
        <v>55</v>
      </c>
      <c r="J46" s="52">
        <f>'Initial unit rates'!H241</f>
        <v>0</v>
      </c>
    </row>
    <row r="47" spans="5:10" x14ac:dyDescent="0.25">
      <c r="F47" s="6" t="s">
        <v>80</v>
      </c>
      <c r="H47" s="247" t="s">
        <v>81</v>
      </c>
      <c r="I47" s="6" t="s">
        <v>55</v>
      </c>
      <c r="J47" s="52">
        <f>'Service model charges'!H48</f>
        <v>0</v>
      </c>
    </row>
    <row r="48" spans="5:10" x14ac:dyDescent="0.25">
      <c r="F48" s="6" t="s">
        <v>82</v>
      </c>
      <c r="H48" s="247" t="s">
        <v>83</v>
      </c>
      <c r="I48" s="6" t="s">
        <v>55</v>
      </c>
      <c r="J48" s="52">
        <f>'Unit rate charges'!H223</f>
        <v>0</v>
      </c>
    </row>
    <row r="49" spans="2:12" x14ac:dyDescent="0.25">
      <c r="F49" s="6" t="s">
        <v>84</v>
      </c>
      <c r="H49" s="247" t="s">
        <v>85</v>
      </c>
      <c r="I49" s="6" t="s">
        <v>55</v>
      </c>
      <c r="J49" s="52">
        <f>'Reactive power charges'!H254</f>
        <v>0</v>
      </c>
    </row>
    <row r="50" spans="2:12" x14ac:dyDescent="0.25">
      <c r="F50" s="6" t="s">
        <v>86</v>
      </c>
      <c r="H50" s="247" t="s">
        <v>87</v>
      </c>
      <c r="I50" s="6" t="s">
        <v>55</v>
      </c>
      <c r="J50" s="52">
        <f>'Capacity charges'!H295</f>
        <v>0</v>
      </c>
    </row>
    <row r="51" spans="2:12" x14ac:dyDescent="0.25">
      <c r="F51" s="6" t="s">
        <v>88</v>
      </c>
      <c r="H51" s="247" t="s">
        <v>89</v>
      </c>
      <c r="I51" s="6" t="s">
        <v>55</v>
      </c>
      <c r="J51" s="52">
        <f>'Fixed charges'!H165</f>
        <v>0</v>
      </c>
    </row>
    <row r="52" spans="2:12" x14ac:dyDescent="0.25">
      <c r="F52" s="6" t="s">
        <v>90</v>
      </c>
      <c r="H52" s="247" t="s">
        <v>91</v>
      </c>
      <c r="I52" s="6" t="s">
        <v>55</v>
      </c>
      <c r="J52" s="52">
        <f>'Revenue matching'!H162</f>
        <v>0</v>
      </c>
    </row>
    <row r="53" spans="2:12" x14ac:dyDescent="0.25">
      <c r="F53" s="6" t="s">
        <v>1046</v>
      </c>
      <c r="H53" s="247" t="s">
        <v>93</v>
      </c>
      <c r="I53" s="6" t="s">
        <v>55</v>
      </c>
      <c r="J53" s="52">
        <f>'Fixed charge adder'!H66</f>
        <v>0</v>
      </c>
    </row>
    <row r="54" spans="2:12" x14ac:dyDescent="0.25">
      <c r="F54" s="6" t="s">
        <v>92</v>
      </c>
      <c r="H54" s="247" t="s">
        <v>95</v>
      </c>
      <c r="I54" s="6" t="s">
        <v>55</v>
      </c>
      <c r="J54" s="52">
        <f>Rounding!H158</f>
        <v>0</v>
      </c>
    </row>
    <row r="55" spans="2:12" x14ac:dyDescent="0.25">
      <c r="F55" s="6" t="s">
        <v>94</v>
      </c>
      <c r="H55" s="247" t="s">
        <v>1047</v>
      </c>
      <c r="I55" s="6" t="s">
        <v>55</v>
      </c>
      <c r="J55" s="51">
        <f>'Net revenue summary'!$H$199</f>
        <v>0</v>
      </c>
    </row>
    <row r="56" spans="2:12" x14ac:dyDescent="0.25">
      <c r="F56" s="6" t="s">
        <v>96</v>
      </c>
      <c r="H56" s="247" t="s">
        <v>97</v>
      </c>
      <c r="I56" s="6" t="s">
        <v>55</v>
      </c>
      <c r="J56" s="52">
        <f>'Tariff summary'!$H$71</f>
        <v>0</v>
      </c>
    </row>
    <row r="57" spans="2:12" x14ac:dyDescent="0.25">
      <c r="F57" s="6" t="s">
        <v>98</v>
      </c>
      <c r="H57" s="247" t="s">
        <v>99</v>
      </c>
      <c r="I57" s="6" t="s">
        <v>55</v>
      </c>
      <c r="J57" s="51">
        <f>'Output to other models'!H78</f>
        <v>0</v>
      </c>
    </row>
    <row r="58" spans="2:12" x14ac:dyDescent="0.25">
      <c r="F58" s="53" t="s">
        <v>100</v>
      </c>
      <c r="G58" s="53"/>
      <c r="H58" s="53"/>
      <c r="I58" s="53" t="s">
        <v>55</v>
      </c>
      <c r="J58" s="54">
        <f>IFERROR(SUM(J34:J57), 1)</f>
        <v>0</v>
      </c>
    </row>
    <row r="60" spans="2:12" x14ac:dyDescent="0.25">
      <c r="B60" s="41" t="s">
        <v>101</v>
      </c>
      <c r="C60" s="41"/>
      <c r="D60" s="41"/>
      <c r="E60" s="41"/>
      <c r="F60" s="41"/>
      <c r="G60" s="42"/>
      <c r="H60" s="42"/>
      <c r="I60" s="42"/>
      <c r="J60" s="42"/>
      <c r="K60" s="42"/>
      <c r="L60" s="41"/>
    </row>
    <row r="62" spans="2:12" x14ac:dyDescent="0.25">
      <c r="F62" s="48" t="s">
        <v>102</v>
      </c>
    </row>
    <row r="63" spans="2:12" x14ac:dyDescent="0.25">
      <c r="F63" s="247" t="s">
        <v>103</v>
      </c>
    </row>
    <row r="64" spans="2:12" x14ac:dyDescent="0.25">
      <c r="F64" s="247" t="s">
        <v>104</v>
      </c>
    </row>
    <row r="65" spans="2:12" x14ac:dyDescent="0.25">
      <c r="F65" s="247" t="s">
        <v>44</v>
      </c>
    </row>
    <row r="66" spans="2:12" ht="30" x14ac:dyDescent="0.25">
      <c r="F66" s="308" t="s">
        <v>933</v>
      </c>
    </row>
    <row r="67" spans="2:12" x14ac:dyDescent="0.25">
      <c r="F67" s="247"/>
    </row>
    <row r="68" spans="2:12" x14ac:dyDescent="0.25">
      <c r="F68" s="247"/>
    </row>
    <row r="69" spans="2:12" x14ac:dyDescent="0.25">
      <c r="F69" s="247"/>
    </row>
    <row r="70" spans="2:12" x14ac:dyDescent="0.25">
      <c r="F70" s="247"/>
    </row>
    <row r="71" spans="2:12" x14ac:dyDescent="0.25">
      <c r="F71" s="247"/>
    </row>
    <row r="72" spans="2:12" x14ac:dyDescent="0.25">
      <c r="F72" s="247"/>
    </row>
    <row r="73" spans="2:12" x14ac:dyDescent="0.25">
      <c r="F73" s="247" t="s">
        <v>105</v>
      </c>
    </row>
    <row r="75" spans="2:12" x14ac:dyDescent="0.25">
      <c r="B75" s="41" t="s">
        <v>106</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6" priority="2" operator="greaterThan">
      <formula>0</formula>
    </cfRule>
  </conditionalFormatting>
  <conditionalFormatting sqref="A4:XFD4">
    <cfRule type="expression" dxfId="225"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xr:uid="{00000000-0002-0000-0100-000000000000}">
      <formula1>0</formula1>
    </dataValidation>
    <dataValidation type="date" operator="greaterThan" allowBlank="1" showInputMessage="1" showErrorMessage="1" promptTitle="Model date" prompt="Input a date" sqref="F20:F29" xr:uid="{00000000-0002-0000-0100-000001000000}">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xr:uid="{00000000-0002-0000-0100-000002000000}">
      <formula1>$F$63:$F$73</formula1>
    </dataValidation>
  </dataValidations>
  <hyperlinks>
    <hyperlink ref="I63" location="'Cover'!A1" display="Cover" xr:uid="{00000000-0004-0000-0100-000000000000}"/>
    <hyperlink ref="I64" location="'Version control'!A1" display="Version control" xr:uid="{00000000-0004-0000-0100-000001000000}"/>
    <hyperlink ref="I73" location="'Model map'!A1" display="Model map" xr:uid="{00000000-0004-0000-0100-000002000000}"/>
    <hyperlink ref="I74" location="'Inputs &gt;&gt;'!A1" display="Inputs &gt;&gt;" xr:uid="{00000000-0004-0000-0100-000003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4" tint="0.59999389629810485"/>
    <pageSetUpPr fitToPage="1"/>
  </sheetPr>
  <dimension ref="A1:KZ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Unit rate charges</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H223 &amp; IF(H223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647</v>
      </c>
      <c r="D9"/>
    </row>
    <row r="10" spans="1:27" x14ac:dyDescent="0.25">
      <c r="C10" s="29" t="s">
        <v>648</v>
      </c>
      <c r="D10"/>
      <c r="E10"/>
    </row>
    <row r="11" spans="1:27" x14ac:dyDescent="0.25">
      <c r="C11" s="29" t="s">
        <v>649</v>
      </c>
      <c r="D11"/>
      <c r="E11"/>
    </row>
    <row r="12" spans="1:27" x14ac:dyDescent="0.25">
      <c r="C12" s="29" t="s">
        <v>650</v>
      </c>
    </row>
    <row r="13" spans="1:27" x14ac:dyDescent="0.25">
      <c r="C13" s="29" t="s">
        <v>651</v>
      </c>
      <c r="D13"/>
    </row>
    <row r="15" spans="1:27" x14ac:dyDescent="0.25">
      <c r="B15" s="30" t="s">
        <v>652</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25">
      <c r="C17" s="29" t="s">
        <v>653</v>
      </c>
    </row>
    <row r="19" spans="3:27" x14ac:dyDescent="0.25">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25">
      <c r="C20" s="32"/>
      <c r="D20"/>
      <c r="E20" s="32"/>
    </row>
    <row r="21" spans="3:27" x14ac:dyDescent="0.25">
      <c r="D21"/>
      <c r="E21" s="32" t="s">
        <v>621</v>
      </c>
    </row>
    <row r="22" spans="3:27" x14ac:dyDescent="0.25">
      <c r="D22"/>
      <c r="F22" s="23" t="s">
        <v>189</v>
      </c>
      <c r="G22" s="23" t="s">
        <v>269</v>
      </c>
      <c r="H22" s="270"/>
      <c r="I22" s="270"/>
      <c r="J22" s="286">
        <f>'Initial unit rates'!J152</f>
        <v>0</v>
      </c>
      <c r="K22" s="286">
        <f>'Initial unit rates'!K152</f>
        <v>0</v>
      </c>
      <c r="L22" s="286">
        <f>'Initial unit rates'!L152</f>
        <v>0</v>
      </c>
      <c r="M22" s="286">
        <f>'Initial unit rates'!M152</f>
        <v>0</v>
      </c>
      <c r="N22" s="286">
        <f>'Initial unit rates'!N152</f>
        <v>0</v>
      </c>
      <c r="O22" s="286">
        <f>'Initial unit rates'!O152</f>
        <v>0</v>
      </c>
      <c r="P22" s="286">
        <f>'Initial unit rates'!P152</f>
        <v>0</v>
      </c>
      <c r="Q22" s="286">
        <f>'Initial unit rates'!Q152</f>
        <v>0</v>
      </c>
      <c r="R22" s="286">
        <f>'Initial unit rates'!R152</f>
        <v>0</v>
      </c>
      <c r="S22" s="286">
        <f>'Initial unit rates'!S152</f>
        <v>0</v>
      </c>
      <c r="T22" s="286">
        <f>'Initial unit rates'!T152</f>
        <v>0</v>
      </c>
      <c r="U22" s="286">
        <f>'Initial unit rates'!U152</f>
        <v>0</v>
      </c>
      <c r="V22" s="286">
        <f>'Initial unit rates'!V152</f>
        <v>0</v>
      </c>
      <c r="W22" s="286">
        <f>'Initial unit rates'!W152</f>
        <v>0</v>
      </c>
      <c r="X22" s="286">
        <f>'Initial unit rates'!X152</f>
        <v>0</v>
      </c>
      <c r="Y22" s="286">
        <f>'Initial unit rates'!Y152</f>
        <v>0</v>
      </c>
      <c r="Z22" s="272"/>
      <c r="AA22" s="272"/>
    </row>
    <row r="23" spans="3:27" x14ac:dyDescent="0.25">
      <c r="D23"/>
      <c r="F23" t="s">
        <v>191</v>
      </c>
      <c r="G23" t="s">
        <v>269</v>
      </c>
      <c r="H23" s="272"/>
      <c r="I23" s="272"/>
      <c r="J23" s="287">
        <f>'Initial unit rates'!J153</f>
        <v>0</v>
      </c>
      <c r="K23" s="287">
        <f>'Initial unit rates'!K153</f>
        <v>0</v>
      </c>
      <c r="L23" s="287">
        <f>'Initial unit rates'!L153</f>
        <v>0</v>
      </c>
      <c r="M23" s="287">
        <f>'Initial unit rates'!M153</f>
        <v>0</v>
      </c>
      <c r="N23" s="287">
        <f>'Initial unit rates'!N153</f>
        <v>0</v>
      </c>
      <c r="O23" s="287">
        <f>'Initial unit rates'!O153</f>
        <v>0</v>
      </c>
      <c r="P23" s="287">
        <f>'Initial unit rates'!P153</f>
        <v>0</v>
      </c>
      <c r="Q23" s="287">
        <f>'Initial unit rates'!Q153</f>
        <v>0</v>
      </c>
      <c r="R23" s="287">
        <f>'Initial unit rates'!R153</f>
        <v>0</v>
      </c>
      <c r="S23" s="287">
        <f>'Initial unit rates'!S153</f>
        <v>0</v>
      </c>
      <c r="T23" s="287">
        <f>'Initial unit rates'!T153</f>
        <v>0</v>
      </c>
      <c r="U23" s="287">
        <f>'Initial unit rates'!U153</f>
        <v>0</v>
      </c>
      <c r="V23" s="287">
        <f>'Initial unit rates'!V153</f>
        <v>0</v>
      </c>
      <c r="W23" s="287">
        <f>'Initial unit rates'!W153</f>
        <v>0</v>
      </c>
      <c r="X23" s="287">
        <f>'Initial unit rates'!X153</f>
        <v>0</v>
      </c>
      <c r="Y23" s="287">
        <f>'Initial unit rates'!Y153</f>
        <v>0</v>
      </c>
      <c r="Z23" s="272"/>
      <c r="AA23" s="272"/>
    </row>
    <row r="24" spans="3:27" x14ac:dyDescent="0.25">
      <c r="D24"/>
      <c r="F24" t="s">
        <v>192</v>
      </c>
      <c r="G24" t="s">
        <v>269</v>
      </c>
      <c r="H24" s="272"/>
      <c r="I24" s="272"/>
      <c r="J24" s="287">
        <f>'Initial unit rates'!J154</f>
        <v>0</v>
      </c>
      <c r="K24" s="287">
        <f>'Initial unit rates'!K154</f>
        <v>0</v>
      </c>
      <c r="L24" s="287">
        <f>'Initial unit rates'!L154</f>
        <v>0</v>
      </c>
      <c r="M24" s="287">
        <f>'Initial unit rates'!M154</f>
        <v>0</v>
      </c>
      <c r="N24" s="287">
        <f>'Initial unit rates'!N154</f>
        <v>0</v>
      </c>
      <c r="O24" s="287">
        <f>'Initial unit rates'!O154</f>
        <v>0</v>
      </c>
      <c r="P24" s="287">
        <f>'Initial unit rates'!P154</f>
        <v>0</v>
      </c>
      <c r="Q24" s="287">
        <f>'Initial unit rates'!Q154</f>
        <v>0</v>
      </c>
      <c r="R24" s="287">
        <f>'Initial unit rates'!R154</f>
        <v>0</v>
      </c>
      <c r="S24" s="287">
        <f>'Initial unit rates'!S154</f>
        <v>0</v>
      </c>
      <c r="T24" s="287">
        <f>'Initial unit rates'!T154</f>
        <v>0</v>
      </c>
      <c r="U24" s="287">
        <f>'Initial unit rates'!U154</f>
        <v>0</v>
      </c>
      <c r="V24" s="287">
        <f>'Initial unit rates'!V154</f>
        <v>0</v>
      </c>
      <c r="W24" s="287">
        <f>'Initial unit rates'!W154</f>
        <v>0</v>
      </c>
      <c r="X24" s="287">
        <f>'Initial unit rates'!X154</f>
        <v>0</v>
      </c>
      <c r="Y24" s="287">
        <f>'Initial unit rates'!Y154</f>
        <v>0</v>
      </c>
      <c r="Z24" s="272"/>
      <c r="AA24" s="272"/>
    </row>
    <row r="25" spans="3:27" x14ac:dyDescent="0.25">
      <c r="D25"/>
      <c r="F25" t="s">
        <v>193</v>
      </c>
      <c r="G25" t="s">
        <v>269</v>
      </c>
      <c r="H25" s="272"/>
      <c r="I25" s="272"/>
      <c r="J25" s="287">
        <f>'Initial unit rates'!J155</f>
        <v>0</v>
      </c>
      <c r="K25" s="287">
        <f>'Initial unit rates'!K155</f>
        <v>0</v>
      </c>
      <c r="L25" s="287">
        <f>'Initial unit rates'!L155</f>
        <v>0</v>
      </c>
      <c r="M25" s="287">
        <f>'Initial unit rates'!M155</f>
        <v>0</v>
      </c>
      <c r="N25" s="287">
        <f>'Initial unit rates'!N155</f>
        <v>0</v>
      </c>
      <c r="O25" s="287">
        <f>'Initial unit rates'!O155</f>
        <v>0</v>
      </c>
      <c r="P25" s="287">
        <f>'Initial unit rates'!P155</f>
        <v>0</v>
      </c>
      <c r="Q25" s="287">
        <f>'Initial unit rates'!Q155</f>
        <v>0</v>
      </c>
      <c r="R25" s="287">
        <f>'Initial unit rates'!R155</f>
        <v>0</v>
      </c>
      <c r="S25" s="287">
        <f>'Initial unit rates'!S155</f>
        <v>0</v>
      </c>
      <c r="T25" s="287">
        <f>'Initial unit rates'!T155</f>
        <v>0</v>
      </c>
      <c r="U25" s="287">
        <f>'Initial unit rates'!U155</f>
        <v>0</v>
      </c>
      <c r="V25" s="287">
        <f>'Initial unit rates'!V155</f>
        <v>0</v>
      </c>
      <c r="W25" s="287">
        <f>'Initial unit rates'!W155</f>
        <v>0</v>
      </c>
      <c r="X25" s="287">
        <f>'Initial unit rates'!X155</f>
        <v>0</v>
      </c>
      <c r="Y25" s="287">
        <f>'Initial unit rates'!Y155</f>
        <v>0</v>
      </c>
      <c r="Z25" s="272"/>
      <c r="AA25" s="272"/>
    </row>
    <row r="26" spans="3:27" x14ac:dyDescent="0.25">
      <c r="D26"/>
      <c r="F26" t="s">
        <v>194</v>
      </c>
      <c r="G26" t="s">
        <v>269</v>
      </c>
      <c r="H26" s="272"/>
      <c r="I26" s="272"/>
      <c r="J26" s="287">
        <f>'Initial unit rates'!J156</f>
        <v>0.7503912972474287</v>
      </c>
      <c r="K26" s="287">
        <f>'Initial unit rates'!K156</f>
        <v>0.7503912972474287</v>
      </c>
      <c r="L26" s="287">
        <f>'Initial unit rates'!L156</f>
        <v>0.7836294832577001</v>
      </c>
      <c r="M26" s="287">
        <f>'Initial unit rates'!M156</f>
        <v>0.7836294832577001</v>
      </c>
      <c r="N26" s="287">
        <f>'Initial unit rates'!N156</f>
        <v>0.69911525325391122</v>
      </c>
      <c r="O26" s="287">
        <f>'Initial unit rates'!O156</f>
        <v>0.57656006989100894</v>
      </c>
      <c r="P26" s="287">
        <f>'Initial unit rates'!P156</f>
        <v>0.57438910175179059</v>
      </c>
      <c r="Q26" s="287">
        <f>'Initial unit rates'!Q156</f>
        <v>1.2938295335385723</v>
      </c>
      <c r="R26" s="287">
        <f>'Initial unit rates'!R156</f>
        <v>-0.53794363388552957</v>
      </c>
      <c r="S26" s="287">
        <f>'Initial unit rates'!S156</f>
        <v>-0.5212097971498405</v>
      </c>
      <c r="T26" s="287">
        <f>'Initial unit rates'!T156</f>
        <v>-0.53794363388552957</v>
      </c>
      <c r="U26" s="287">
        <f>'Initial unit rates'!U156</f>
        <v>-0.53794363388552957</v>
      </c>
      <c r="V26" s="287">
        <f>'Initial unit rates'!V156</f>
        <v>-0.5212097971498405</v>
      </c>
      <c r="W26" s="287">
        <f>'Initial unit rates'!W156</f>
        <v>-0.5212097971498405</v>
      </c>
      <c r="X26" s="287">
        <f>'Initial unit rates'!X156</f>
        <v>-0.50718838880240358</v>
      </c>
      <c r="Y26" s="287">
        <f>'Initial unit rates'!Y156</f>
        <v>-0.50718838880240358</v>
      </c>
      <c r="Z26" s="272"/>
      <c r="AA26" s="272"/>
    </row>
    <row r="27" spans="3:27" x14ac:dyDescent="0.25">
      <c r="D27"/>
      <c r="F27" t="s">
        <v>195</v>
      </c>
      <c r="G27" t="s">
        <v>269</v>
      </c>
      <c r="H27" s="272"/>
      <c r="I27" s="272"/>
      <c r="J27" s="287">
        <f>'Initial unit rates'!J157</f>
        <v>0.68050391555871759</v>
      </c>
      <c r="K27" s="287">
        <f>'Initial unit rates'!K157</f>
        <v>0.68050391555871759</v>
      </c>
      <c r="L27" s="287">
        <f>'Initial unit rates'!L157</f>
        <v>0.71064647692507166</v>
      </c>
      <c r="M27" s="287">
        <f>'Initial unit rates'!M157</f>
        <v>0.71064647692507166</v>
      </c>
      <c r="N27" s="287">
        <f>'Initial unit rates'!N157</f>
        <v>0.63400344461782898</v>
      </c>
      <c r="O27" s="287">
        <f>'Initial unit rates'!O157</f>
        <v>0.5228623873369207</v>
      </c>
      <c r="P27" s="287">
        <f>'Initial unit rates'!P157</f>
        <v>0.5218775090065112</v>
      </c>
      <c r="Q27" s="287">
        <f>'Initial unit rates'!Q157</f>
        <v>1.1733292575062901</v>
      </c>
      <c r="R27" s="287">
        <f>'Initial unit rates'!R157</f>
        <v>-0.48784247705405059</v>
      </c>
      <c r="S27" s="287">
        <f>'Initial unit rates'!S157</f>
        <v>-0.4726671392499906</v>
      </c>
      <c r="T27" s="287">
        <f>'Initial unit rates'!T157</f>
        <v>-0.48784247705405059</v>
      </c>
      <c r="U27" s="287">
        <f>'Initial unit rates'!U157</f>
        <v>-0.48784247705405059</v>
      </c>
      <c r="V27" s="287">
        <f>'Initial unit rates'!V157</f>
        <v>-0.4726671392499906</v>
      </c>
      <c r="W27" s="287">
        <f>'Initial unit rates'!W157</f>
        <v>-0.4726671392499906</v>
      </c>
      <c r="X27" s="287">
        <f>'Initial unit rates'!X157</f>
        <v>-0.4608203953347364</v>
      </c>
      <c r="Y27" s="287">
        <f>'Initial unit rates'!Y157</f>
        <v>-0.4608203953347364</v>
      </c>
      <c r="Z27" s="272"/>
      <c r="AA27" s="272"/>
    </row>
    <row r="28" spans="3:27" x14ac:dyDescent="0.25">
      <c r="D28"/>
      <c r="F28" t="s">
        <v>196</v>
      </c>
      <c r="G28" t="s">
        <v>269</v>
      </c>
      <c r="H28" s="272"/>
      <c r="I28" s="272"/>
      <c r="J28" s="287">
        <f>'Initial unit rates'!J158</f>
        <v>0</v>
      </c>
      <c r="K28" s="287">
        <f>'Initial unit rates'!K158</f>
        <v>0</v>
      </c>
      <c r="L28" s="287">
        <f>'Initial unit rates'!L158</f>
        <v>0</v>
      </c>
      <c r="M28" s="287">
        <f>'Initial unit rates'!M158</f>
        <v>0</v>
      </c>
      <c r="N28" s="287">
        <f>'Initial unit rates'!N158</f>
        <v>0</v>
      </c>
      <c r="O28" s="287">
        <f>'Initial unit rates'!O158</f>
        <v>0</v>
      </c>
      <c r="P28" s="287">
        <f>'Initial unit rates'!P158</f>
        <v>0</v>
      </c>
      <c r="Q28" s="287">
        <f>'Initial unit rates'!Q158</f>
        <v>0</v>
      </c>
      <c r="R28" s="287">
        <f>'Initial unit rates'!R158</f>
        <v>0</v>
      </c>
      <c r="S28" s="287">
        <f>'Initial unit rates'!S158</f>
        <v>0</v>
      </c>
      <c r="T28" s="287">
        <f>'Initial unit rates'!T158</f>
        <v>0</v>
      </c>
      <c r="U28" s="287">
        <f>'Initial unit rates'!U158</f>
        <v>0</v>
      </c>
      <c r="V28" s="287">
        <f>'Initial unit rates'!V158</f>
        <v>0</v>
      </c>
      <c r="W28" s="287">
        <f>'Initial unit rates'!W158</f>
        <v>0</v>
      </c>
      <c r="X28" s="287">
        <f>'Initial unit rates'!X158</f>
        <v>0</v>
      </c>
      <c r="Y28" s="287">
        <f>'Initial unit rates'!Y158</f>
        <v>0</v>
      </c>
      <c r="Z28" s="272"/>
      <c r="AA28" s="272"/>
    </row>
    <row r="29" spans="3:27" x14ac:dyDescent="0.25">
      <c r="D29"/>
      <c r="F29" t="s">
        <v>197</v>
      </c>
      <c r="G29" t="s">
        <v>269</v>
      </c>
      <c r="H29" s="272"/>
      <c r="I29" s="272"/>
      <c r="J29" s="287">
        <f>'Initial unit rates'!J159</f>
        <v>1.6230340273617363</v>
      </c>
      <c r="K29" s="287">
        <f>'Initial unit rates'!K159</f>
        <v>1.6230340273617363</v>
      </c>
      <c r="L29" s="287">
        <f>'Initial unit rates'!L159</f>
        <v>1.6949254620043495</v>
      </c>
      <c r="M29" s="287">
        <f>'Initial unit rates'!M159</f>
        <v>1.6949254620043495</v>
      </c>
      <c r="N29" s="287">
        <f>'Initial unit rates'!N159</f>
        <v>1.5121282046326447</v>
      </c>
      <c r="O29" s="287">
        <f>'Initial unit rates'!O159</f>
        <v>1.2470515258955785</v>
      </c>
      <c r="P29" s="287">
        <f>'Initial unit rates'!P159</f>
        <v>1.3277541667403763</v>
      </c>
      <c r="Q29" s="287">
        <f>'Initial unit rates'!Q159</f>
        <v>2.7984457792109092</v>
      </c>
      <c r="R29" s="287">
        <f>'Initial unit rates'!R159</f>
        <v>-1.1635273833818842</v>
      </c>
      <c r="S29" s="287">
        <f>'Initial unit rates'!S159</f>
        <v>-1.1273334849052292</v>
      </c>
      <c r="T29" s="287">
        <f>'Initial unit rates'!T159</f>
        <v>-1.1635273833818842</v>
      </c>
      <c r="U29" s="287">
        <f>'Initial unit rates'!U159</f>
        <v>-1.1635273833818842</v>
      </c>
      <c r="V29" s="287">
        <f>'Initial unit rates'!V159</f>
        <v>-1.1273334849052292</v>
      </c>
      <c r="W29" s="287">
        <f>'Initial unit rates'!W159</f>
        <v>-1.1273334849052292</v>
      </c>
      <c r="X29" s="287">
        <f>'Initial unit rates'!X159</f>
        <v>0</v>
      </c>
      <c r="Y29" s="287">
        <f>'Initial unit rates'!Y159</f>
        <v>0</v>
      </c>
      <c r="Z29" s="272"/>
      <c r="AA29" s="272"/>
    </row>
    <row r="30" spans="3:27" x14ac:dyDescent="0.25">
      <c r="D30"/>
      <c r="F30" t="s">
        <v>198</v>
      </c>
      <c r="G30" t="s">
        <v>269</v>
      </c>
      <c r="H30" s="272"/>
      <c r="I30" s="272"/>
      <c r="J30" s="287">
        <f>'Initial unit rates'!J160</f>
        <v>0.14864773684826155</v>
      </c>
      <c r="K30" s="287">
        <f>'Initial unit rates'!K160</f>
        <v>0.14864773684826155</v>
      </c>
      <c r="L30" s="287">
        <f>'Initial unit rates'!L160</f>
        <v>0.15523200980757232</v>
      </c>
      <c r="M30" s="287">
        <f>'Initial unit rates'!M160</f>
        <v>0.15523200980757232</v>
      </c>
      <c r="N30" s="287">
        <f>'Initial unit rates'!N160</f>
        <v>0.13849027910304593</v>
      </c>
      <c r="O30" s="287">
        <f>'Initial unit rates'!O160</f>
        <v>0.1142128778155518</v>
      </c>
      <c r="P30" s="287">
        <f>'Initial unit rates'!P160</f>
        <v>0</v>
      </c>
      <c r="Q30" s="287">
        <f>'Initial unit rates'!Q160</f>
        <v>0.25629939037597183</v>
      </c>
      <c r="R30" s="287">
        <f>'Initial unit rates'!R160</f>
        <v>-0.10656320778550681</v>
      </c>
      <c r="S30" s="287">
        <f>'Initial unit rates'!S160</f>
        <v>0</v>
      </c>
      <c r="T30" s="287">
        <f>'Initial unit rates'!T160</f>
        <v>-0.10656320778550681</v>
      </c>
      <c r="U30" s="287">
        <f>'Initial unit rates'!U160</f>
        <v>-0.10656320778550681</v>
      </c>
      <c r="V30" s="287">
        <f>'Initial unit rates'!V160</f>
        <v>0</v>
      </c>
      <c r="W30" s="287">
        <f>'Initial unit rates'!W160</f>
        <v>0</v>
      </c>
      <c r="X30" s="287">
        <f>'Initial unit rates'!X160</f>
        <v>0</v>
      </c>
      <c r="Y30" s="287">
        <f>'Initial unit rates'!Y160</f>
        <v>0</v>
      </c>
      <c r="Z30" s="272"/>
      <c r="AA30" s="272"/>
    </row>
    <row r="31" spans="3:27" x14ac:dyDescent="0.25">
      <c r="D31"/>
      <c r="F31" t="s">
        <v>199</v>
      </c>
      <c r="G31" t="s">
        <v>269</v>
      </c>
      <c r="H31" s="272"/>
      <c r="I31" s="272"/>
      <c r="J31" s="287">
        <f>'Initial unit rates'!J161</f>
        <v>5.3982716413371351E-2</v>
      </c>
      <c r="K31" s="287">
        <f>'Initial unit rates'!K161</f>
        <v>5.3982716413371351E-2</v>
      </c>
      <c r="L31" s="287">
        <f>'Initial unit rates'!L161</f>
        <v>5.6373852312826919E-2</v>
      </c>
      <c r="M31" s="287">
        <f>'Initial unit rates'!M161</f>
        <v>5.6373852312826919E-2</v>
      </c>
      <c r="N31" s="287">
        <f>'Initial unit rates'!N161</f>
        <v>5.0293947431301313E-2</v>
      </c>
      <c r="O31" s="287">
        <f>'Initial unit rates'!O161</f>
        <v>0</v>
      </c>
      <c r="P31" s="287">
        <f>'Initial unit rates'!P161</f>
        <v>0</v>
      </c>
      <c r="Q31" s="287">
        <f>'Initial unit rates'!Q161</f>
        <v>9.3077349180966398E-2</v>
      </c>
      <c r="R31" s="287">
        <f>'Initial unit rates'!R161</f>
        <v>0</v>
      </c>
      <c r="S31" s="287">
        <f>'Initial unit rates'!S161</f>
        <v>0</v>
      </c>
      <c r="T31" s="287">
        <f>'Initial unit rates'!T161</f>
        <v>0</v>
      </c>
      <c r="U31" s="287">
        <f>'Initial unit rates'!U161</f>
        <v>0</v>
      </c>
      <c r="V31" s="287">
        <f>'Initial unit rates'!V161</f>
        <v>0</v>
      </c>
      <c r="W31" s="287">
        <f>'Initial unit rates'!W161</f>
        <v>0</v>
      </c>
      <c r="X31" s="287">
        <f>'Initial unit rates'!X161</f>
        <v>0</v>
      </c>
      <c r="Y31" s="287">
        <f>'Initial unit rates'!Y161</f>
        <v>0</v>
      </c>
      <c r="Z31" s="272"/>
      <c r="AA31" s="272"/>
    </row>
    <row r="32" spans="3:27" x14ac:dyDescent="0.25">
      <c r="D32"/>
      <c r="F32" s="23" t="s">
        <v>376</v>
      </c>
      <c r="G32" s="23" t="s">
        <v>269</v>
      </c>
      <c r="H32" s="270"/>
      <c r="I32" s="270"/>
      <c r="J32" s="288"/>
      <c r="K32" s="288"/>
      <c r="L32" s="288"/>
      <c r="M32" s="288"/>
      <c r="N32" s="288"/>
      <c r="O32" s="288"/>
      <c r="P32" s="288"/>
      <c r="Q32" s="288"/>
      <c r="R32" s="288"/>
      <c r="S32" s="288"/>
      <c r="T32" s="288"/>
      <c r="U32" s="288"/>
      <c r="V32" s="288"/>
      <c r="W32" s="288"/>
      <c r="X32" s="288"/>
      <c r="Y32" s="288"/>
      <c r="Z32" s="272"/>
      <c r="AA32" s="272"/>
    </row>
    <row r="33" spans="4:27" x14ac:dyDescent="0.25">
      <c r="D33"/>
      <c r="F33" s="37" t="s">
        <v>377</v>
      </c>
      <c r="G33" s="37" t="s">
        <v>269</v>
      </c>
      <c r="H33" s="276"/>
      <c r="I33" s="276"/>
      <c r="J33" s="277"/>
      <c r="K33" s="277"/>
      <c r="L33" s="277"/>
      <c r="M33" s="277"/>
      <c r="N33" s="277"/>
      <c r="O33" s="277"/>
      <c r="P33" s="277"/>
      <c r="Q33" s="277"/>
      <c r="R33" s="277"/>
      <c r="S33" s="277"/>
      <c r="T33" s="277"/>
      <c r="U33" s="277"/>
      <c r="V33" s="277"/>
      <c r="W33" s="277"/>
      <c r="X33" s="277"/>
      <c r="Y33" s="277"/>
      <c r="Z33" s="272"/>
      <c r="AA33" s="272"/>
    </row>
    <row r="34" spans="4:27" x14ac:dyDescent="0.25">
      <c r="D34"/>
      <c r="J34" s="89"/>
      <c r="K34" s="89"/>
      <c r="L34" s="89"/>
      <c r="M34" s="89"/>
      <c r="N34" s="89"/>
      <c r="O34" s="89"/>
      <c r="P34" s="89"/>
      <c r="Q34" s="89"/>
      <c r="R34" s="89"/>
      <c r="S34" s="89"/>
      <c r="T34" s="89"/>
      <c r="U34" s="89"/>
      <c r="V34" s="89"/>
      <c r="W34" s="89"/>
      <c r="X34" s="89"/>
      <c r="Y34" s="89"/>
    </row>
    <row r="35" spans="4:27" x14ac:dyDescent="0.25">
      <c r="D35"/>
      <c r="E35" s="32" t="s">
        <v>622</v>
      </c>
      <c r="J35" s="89"/>
      <c r="K35" s="89"/>
      <c r="L35" s="89"/>
      <c r="M35" s="89"/>
      <c r="N35" s="89"/>
      <c r="O35" s="89"/>
      <c r="P35" s="89"/>
      <c r="Q35" s="89"/>
      <c r="R35" s="89"/>
      <c r="S35" s="89"/>
      <c r="T35" s="89"/>
      <c r="U35" s="89"/>
      <c r="V35" s="89"/>
      <c r="W35" s="89"/>
      <c r="X35" s="89"/>
      <c r="Y35" s="89"/>
    </row>
    <row r="36" spans="4:27" x14ac:dyDescent="0.25">
      <c r="D36"/>
      <c r="F36" s="23" t="s">
        <v>189</v>
      </c>
      <c r="G36" s="23" t="s">
        <v>269</v>
      </c>
      <c r="H36" s="270"/>
      <c r="I36" s="270"/>
      <c r="J36" s="286">
        <f>'Initial unit rates'!J164</f>
        <v>2.4576288449393235</v>
      </c>
      <c r="K36" s="286">
        <f>'Initial unit rates'!K164</f>
        <v>2.4576288449393235</v>
      </c>
      <c r="L36" s="286">
        <f>'Initial unit rates'!L164</f>
        <v>2.5664882160327047</v>
      </c>
      <c r="M36" s="286">
        <f>'Initial unit rates'!M164</f>
        <v>2.5664882160327047</v>
      </c>
      <c r="N36" s="286">
        <f>'Initial unit rates'!N164</f>
        <v>2.2896931489429786</v>
      </c>
      <c r="O36" s="286">
        <f>'Initial unit rates'!O164</f>
        <v>1.8883090246409853</v>
      </c>
      <c r="P36" s="286">
        <f>'Initial unit rates'!P164</f>
        <v>1.8912187349146747</v>
      </c>
      <c r="Q36" s="286">
        <f>'Initial unit rates'!Q164</f>
        <v>4.7485732291916722</v>
      </c>
      <c r="R36" s="286">
        <f>'Initial unit rates'!R164</f>
        <v>-1.7618351871058915</v>
      </c>
      <c r="S36" s="286">
        <f>'Initial unit rates'!S164</f>
        <v>-1.707029700956211</v>
      </c>
      <c r="T36" s="286">
        <f>'Initial unit rates'!T164</f>
        <v>-1.7618351871058915</v>
      </c>
      <c r="U36" s="286">
        <f>'Initial unit rates'!U164</f>
        <v>-1.7618351871058915</v>
      </c>
      <c r="V36" s="286">
        <f>'Initial unit rates'!V164</f>
        <v>-1.707029700956211</v>
      </c>
      <c r="W36" s="286">
        <f>'Initial unit rates'!W164</f>
        <v>-1.707029700956211</v>
      </c>
      <c r="X36" s="286">
        <f>'Initial unit rates'!X164</f>
        <v>-1.6699554015020159</v>
      </c>
      <c r="Y36" s="286">
        <f>'Initial unit rates'!Y164</f>
        <v>-1.6699554015020159</v>
      </c>
      <c r="Z36" s="272"/>
      <c r="AA36" s="272"/>
    </row>
    <row r="37" spans="4:27" x14ac:dyDescent="0.25">
      <c r="D37"/>
      <c r="F37" t="s">
        <v>191</v>
      </c>
      <c r="G37" t="s">
        <v>269</v>
      </c>
      <c r="H37" s="272"/>
      <c r="I37" s="272"/>
      <c r="J37" s="287">
        <f>'Initial unit rates'!J165</f>
        <v>0</v>
      </c>
      <c r="K37" s="287">
        <f>'Initial unit rates'!K165</f>
        <v>0</v>
      </c>
      <c r="L37" s="287">
        <f>'Initial unit rates'!L165</f>
        <v>0</v>
      </c>
      <c r="M37" s="287">
        <f>'Initial unit rates'!M165</f>
        <v>0</v>
      </c>
      <c r="N37" s="287">
        <f>'Initial unit rates'!N165</f>
        <v>0</v>
      </c>
      <c r="O37" s="287">
        <f>'Initial unit rates'!O165</f>
        <v>0</v>
      </c>
      <c r="P37" s="287">
        <f>'Initial unit rates'!P165</f>
        <v>0</v>
      </c>
      <c r="Q37" s="287">
        <f>'Initial unit rates'!Q165</f>
        <v>0</v>
      </c>
      <c r="R37" s="287">
        <f>'Initial unit rates'!R165</f>
        <v>0</v>
      </c>
      <c r="S37" s="287">
        <f>'Initial unit rates'!S165</f>
        <v>0</v>
      </c>
      <c r="T37" s="287">
        <f>'Initial unit rates'!T165</f>
        <v>0</v>
      </c>
      <c r="U37" s="287">
        <f>'Initial unit rates'!U165</f>
        <v>0</v>
      </c>
      <c r="V37" s="287">
        <f>'Initial unit rates'!V165</f>
        <v>0</v>
      </c>
      <c r="W37" s="287">
        <f>'Initial unit rates'!W165</f>
        <v>0</v>
      </c>
      <c r="X37" s="287">
        <f>'Initial unit rates'!X165</f>
        <v>0</v>
      </c>
      <c r="Y37" s="287">
        <f>'Initial unit rates'!Y165</f>
        <v>0</v>
      </c>
      <c r="Z37" s="272"/>
      <c r="AA37" s="272"/>
    </row>
    <row r="38" spans="4:27" x14ac:dyDescent="0.25">
      <c r="D38"/>
      <c r="F38" t="s">
        <v>192</v>
      </c>
      <c r="G38" t="s">
        <v>269</v>
      </c>
      <c r="H38" s="272"/>
      <c r="I38" s="272"/>
      <c r="J38" s="287">
        <f>'Initial unit rates'!J166</f>
        <v>0</v>
      </c>
      <c r="K38" s="287">
        <f>'Initial unit rates'!K166</f>
        <v>0</v>
      </c>
      <c r="L38" s="287">
        <f>'Initial unit rates'!L166</f>
        <v>0</v>
      </c>
      <c r="M38" s="287">
        <f>'Initial unit rates'!M166</f>
        <v>0</v>
      </c>
      <c r="N38" s="287">
        <f>'Initial unit rates'!N166</f>
        <v>0</v>
      </c>
      <c r="O38" s="287">
        <f>'Initial unit rates'!O166</f>
        <v>0</v>
      </c>
      <c r="P38" s="287">
        <f>'Initial unit rates'!P166</f>
        <v>0</v>
      </c>
      <c r="Q38" s="287">
        <f>'Initial unit rates'!Q166</f>
        <v>0</v>
      </c>
      <c r="R38" s="287">
        <f>'Initial unit rates'!R166</f>
        <v>0</v>
      </c>
      <c r="S38" s="287">
        <f>'Initial unit rates'!S166</f>
        <v>0</v>
      </c>
      <c r="T38" s="287">
        <f>'Initial unit rates'!T166</f>
        <v>0</v>
      </c>
      <c r="U38" s="287">
        <f>'Initial unit rates'!U166</f>
        <v>0</v>
      </c>
      <c r="V38" s="287">
        <f>'Initial unit rates'!V166</f>
        <v>0</v>
      </c>
      <c r="W38" s="287">
        <f>'Initial unit rates'!W166</f>
        <v>0</v>
      </c>
      <c r="X38" s="287">
        <f>'Initial unit rates'!X166</f>
        <v>0</v>
      </c>
      <c r="Y38" s="287">
        <f>'Initial unit rates'!Y166</f>
        <v>0</v>
      </c>
      <c r="Z38" s="272"/>
      <c r="AA38" s="272"/>
    </row>
    <row r="39" spans="4:27" x14ac:dyDescent="0.25">
      <c r="D39"/>
      <c r="F39" t="s">
        <v>193</v>
      </c>
      <c r="G39" t="s">
        <v>269</v>
      </c>
      <c r="H39" s="272"/>
      <c r="I39" s="272"/>
      <c r="J39" s="287">
        <f>'Initial unit rates'!J167</f>
        <v>0</v>
      </c>
      <c r="K39" s="287">
        <f>'Initial unit rates'!K167</f>
        <v>0</v>
      </c>
      <c r="L39" s="287">
        <f>'Initial unit rates'!L167</f>
        <v>0</v>
      </c>
      <c r="M39" s="287">
        <f>'Initial unit rates'!M167</f>
        <v>0</v>
      </c>
      <c r="N39" s="287">
        <f>'Initial unit rates'!N167</f>
        <v>0</v>
      </c>
      <c r="O39" s="287">
        <f>'Initial unit rates'!O167</f>
        <v>0</v>
      </c>
      <c r="P39" s="287">
        <f>'Initial unit rates'!P167</f>
        <v>0</v>
      </c>
      <c r="Q39" s="287">
        <f>'Initial unit rates'!Q167</f>
        <v>0</v>
      </c>
      <c r="R39" s="287">
        <f>'Initial unit rates'!R167</f>
        <v>0</v>
      </c>
      <c r="S39" s="287">
        <f>'Initial unit rates'!S167</f>
        <v>0</v>
      </c>
      <c r="T39" s="287">
        <f>'Initial unit rates'!T167</f>
        <v>0</v>
      </c>
      <c r="U39" s="287">
        <f>'Initial unit rates'!U167</f>
        <v>0</v>
      </c>
      <c r="V39" s="287">
        <f>'Initial unit rates'!V167</f>
        <v>0</v>
      </c>
      <c r="W39" s="287">
        <f>'Initial unit rates'!W167</f>
        <v>0</v>
      </c>
      <c r="X39" s="287">
        <f>'Initial unit rates'!X167</f>
        <v>0</v>
      </c>
      <c r="Y39" s="287">
        <f>'Initial unit rates'!Y167</f>
        <v>0</v>
      </c>
      <c r="Z39" s="272"/>
      <c r="AA39" s="272"/>
    </row>
    <row r="40" spans="4:27" x14ac:dyDescent="0.25">
      <c r="D40"/>
      <c r="F40" t="s">
        <v>194</v>
      </c>
      <c r="G40" t="s">
        <v>269</v>
      </c>
      <c r="H40" s="272"/>
      <c r="I40" s="272"/>
      <c r="J40" s="287">
        <f>'Initial unit rates'!J168</f>
        <v>0.63523503250377211</v>
      </c>
      <c r="K40" s="287">
        <f>'Initial unit rates'!K168</f>
        <v>0.63523503250377211</v>
      </c>
      <c r="L40" s="287">
        <f>'Initial unit rates'!L168</f>
        <v>0.66337243261495593</v>
      </c>
      <c r="M40" s="287">
        <f>'Initial unit rates'!M168</f>
        <v>0.66337243261495593</v>
      </c>
      <c r="N40" s="287">
        <f>'Initial unit rates'!N168</f>
        <v>0.59182789333202501</v>
      </c>
      <c r="O40" s="287">
        <f>'Initial unit rates'!O168</f>
        <v>0.48808022705096377</v>
      </c>
      <c r="P40" s="287">
        <f>'Initial unit rates'!P168</f>
        <v>0.48883231372348535</v>
      </c>
      <c r="Q40" s="287">
        <f>'Initial unit rates'!Q168</f>
        <v>1.0952763562244678</v>
      </c>
      <c r="R40" s="287">
        <f>'Initial unit rates'!R168</f>
        <v>-0.45538993190614668</v>
      </c>
      <c r="S40" s="287">
        <f>'Initial unit rates'!S168</f>
        <v>-0.44122409687887404</v>
      </c>
      <c r="T40" s="287">
        <f>'Initial unit rates'!T168</f>
        <v>-0.45538993190614668</v>
      </c>
      <c r="U40" s="287">
        <f>'Initial unit rates'!U168</f>
        <v>-0.45538993190614668</v>
      </c>
      <c r="V40" s="287">
        <f>'Initial unit rates'!V168</f>
        <v>-0.44122409687887404</v>
      </c>
      <c r="W40" s="287">
        <f>'Initial unit rates'!W168</f>
        <v>-0.44122409687887404</v>
      </c>
      <c r="X40" s="287">
        <f>'Initial unit rates'!X168</f>
        <v>-0.43164132612513084</v>
      </c>
      <c r="Y40" s="287">
        <f>'Initial unit rates'!Y168</f>
        <v>-0.43164132612513084</v>
      </c>
      <c r="Z40" s="272"/>
      <c r="AA40" s="272"/>
    </row>
    <row r="41" spans="4:27" x14ac:dyDescent="0.25">
      <c r="D41"/>
      <c r="F41" t="s">
        <v>195</v>
      </c>
      <c r="G41" t="s">
        <v>269</v>
      </c>
      <c r="H41" s="272"/>
      <c r="I41" s="272"/>
      <c r="J41" s="287">
        <f>'Initial unit rates'!J169</f>
        <v>0.57475831041124126</v>
      </c>
      <c r="K41" s="287">
        <f>'Initial unit rates'!K169</f>
        <v>0.57475831041124126</v>
      </c>
      <c r="L41" s="287">
        <f>'Initial unit rates'!L169</f>
        <v>0.60021692607279642</v>
      </c>
      <c r="M41" s="287">
        <f>'Initial unit rates'!M169</f>
        <v>0.60021692607279642</v>
      </c>
      <c r="N41" s="287">
        <f>'Initial unit rates'!N169</f>
        <v>0.53548369126468021</v>
      </c>
      <c r="O41" s="287">
        <f>'Initial unit rates'!O169</f>
        <v>0.4416131861293105</v>
      </c>
      <c r="P41" s="287">
        <f>'Initial unit rates'!P169</f>
        <v>0.44229367137187886</v>
      </c>
      <c r="Q41" s="287">
        <f>'Initial unit rates'!Q169</f>
        <v>0.99100200040245379</v>
      </c>
      <c r="R41" s="287">
        <f>'Initial unit rates'!R169</f>
        <v>-0.4120351278628715</v>
      </c>
      <c r="S41" s="287">
        <f>'Initial unit rates'!S169</f>
        <v>-0.39921793266860095</v>
      </c>
      <c r="T41" s="287">
        <f>'Initial unit rates'!T169</f>
        <v>-0.4120351278628715</v>
      </c>
      <c r="U41" s="287">
        <f>'Initial unit rates'!U169</f>
        <v>-0.4120351278628715</v>
      </c>
      <c r="V41" s="287">
        <f>'Initial unit rates'!V169</f>
        <v>-0.39921793266860095</v>
      </c>
      <c r="W41" s="287">
        <f>'Initial unit rates'!W169</f>
        <v>-0.39921793266860095</v>
      </c>
      <c r="X41" s="287">
        <f>'Initial unit rates'!X169</f>
        <v>-0.39054747709600623</v>
      </c>
      <c r="Y41" s="287">
        <f>'Initial unit rates'!Y169</f>
        <v>-0.39054747709600623</v>
      </c>
      <c r="Z41" s="272"/>
      <c r="AA41" s="272"/>
    </row>
    <row r="42" spans="4:27" x14ac:dyDescent="0.25">
      <c r="D42"/>
      <c r="F42" t="s">
        <v>196</v>
      </c>
      <c r="G42" t="s">
        <v>269</v>
      </c>
      <c r="H42" s="272"/>
      <c r="I42" s="272"/>
      <c r="J42" s="287">
        <f>'Initial unit rates'!J170</f>
        <v>0</v>
      </c>
      <c r="K42" s="287">
        <f>'Initial unit rates'!K170</f>
        <v>0</v>
      </c>
      <c r="L42" s="287">
        <f>'Initial unit rates'!L170</f>
        <v>0</v>
      </c>
      <c r="M42" s="287">
        <f>'Initial unit rates'!M170</f>
        <v>0</v>
      </c>
      <c r="N42" s="287">
        <f>'Initial unit rates'!N170</f>
        <v>0</v>
      </c>
      <c r="O42" s="287">
        <f>'Initial unit rates'!O170</f>
        <v>0</v>
      </c>
      <c r="P42" s="287">
        <f>'Initial unit rates'!P170</f>
        <v>0</v>
      </c>
      <c r="Q42" s="287">
        <f>'Initial unit rates'!Q170</f>
        <v>0</v>
      </c>
      <c r="R42" s="287">
        <f>'Initial unit rates'!R170</f>
        <v>0</v>
      </c>
      <c r="S42" s="287">
        <f>'Initial unit rates'!S170</f>
        <v>0</v>
      </c>
      <c r="T42" s="287">
        <f>'Initial unit rates'!T170</f>
        <v>0</v>
      </c>
      <c r="U42" s="287">
        <f>'Initial unit rates'!U170</f>
        <v>0</v>
      </c>
      <c r="V42" s="287">
        <f>'Initial unit rates'!V170</f>
        <v>0</v>
      </c>
      <c r="W42" s="287">
        <f>'Initial unit rates'!W170</f>
        <v>0</v>
      </c>
      <c r="X42" s="287">
        <f>'Initial unit rates'!X170</f>
        <v>0</v>
      </c>
      <c r="Y42" s="287">
        <f>'Initial unit rates'!Y170</f>
        <v>0</v>
      </c>
      <c r="Z42" s="272"/>
      <c r="AA42" s="272"/>
    </row>
    <row r="43" spans="4:27" x14ac:dyDescent="0.25">
      <c r="D43"/>
      <c r="F43" t="s">
        <v>197</v>
      </c>
      <c r="G43" t="s">
        <v>269</v>
      </c>
      <c r="H43" s="272"/>
      <c r="I43" s="272"/>
      <c r="J43" s="287">
        <f>'Initial unit rates'!J171</f>
        <v>2.3750475104103552</v>
      </c>
      <c r="K43" s="287">
        <f>'Initial unit rates'!K171</f>
        <v>2.3750475104103552</v>
      </c>
      <c r="L43" s="287">
        <f>'Initial unit rates'!L171</f>
        <v>2.4802489849261526</v>
      </c>
      <c r="M43" s="287">
        <f>'Initial unit rates'!M171</f>
        <v>2.4802489849261526</v>
      </c>
      <c r="N43" s="287">
        <f>'Initial unit rates'!N171</f>
        <v>2.2127547958263536</v>
      </c>
      <c r="O43" s="287">
        <f>'Initial unit rates'!O171</f>
        <v>1.8248579955813895</v>
      </c>
      <c r="P43" s="287">
        <f>'Initial unit rates'!P171</f>
        <v>1.82766993366381</v>
      </c>
      <c r="Q43" s="287">
        <f>'Initial unit rates'!Q171</f>
        <v>4.0950722960116348</v>
      </c>
      <c r="R43" s="287">
        <f>'Initial unit rates'!R171</f>
        <v>-1.7026339365708902</v>
      </c>
      <c r="S43" s="287">
        <f>'Initial unit rates'!S171</f>
        <v>-1.6496700263756383</v>
      </c>
      <c r="T43" s="287">
        <f>'Initial unit rates'!T171</f>
        <v>-1.7026339365708902</v>
      </c>
      <c r="U43" s="287">
        <f>'Initial unit rates'!U171</f>
        <v>-1.7026339365708902</v>
      </c>
      <c r="V43" s="287">
        <f>'Initial unit rates'!V171</f>
        <v>-1.6496700263756383</v>
      </c>
      <c r="W43" s="287">
        <f>'Initial unit rates'!W171</f>
        <v>-1.6496700263756383</v>
      </c>
      <c r="X43" s="287">
        <f>'Initial unit rates'!X171</f>
        <v>0</v>
      </c>
      <c r="Y43" s="287">
        <f>'Initial unit rates'!Y171</f>
        <v>0</v>
      </c>
      <c r="Z43" s="272"/>
      <c r="AA43" s="272"/>
    </row>
    <row r="44" spans="4:27" x14ac:dyDescent="0.25">
      <c r="D44"/>
      <c r="F44" t="s">
        <v>198</v>
      </c>
      <c r="G44" t="s">
        <v>269</v>
      </c>
      <c r="H44" s="272"/>
      <c r="I44" s="272"/>
      <c r="J44" s="287">
        <f>'Initial unit rates'!J172</f>
        <v>0.57512147453429618</v>
      </c>
      <c r="K44" s="287">
        <f>'Initial unit rates'!K172</f>
        <v>0.57512147453429618</v>
      </c>
      <c r="L44" s="287">
        <f>'Initial unit rates'!L172</f>
        <v>0.60059617635878881</v>
      </c>
      <c r="M44" s="287">
        <f>'Initial unit rates'!M172</f>
        <v>0.60059617635878881</v>
      </c>
      <c r="N44" s="287">
        <f>'Initial unit rates'!N172</f>
        <v>0.53582203950884777</v>
      </c>
      <c r="O44" s="287">
        <f>'Initial unit rates'!O172</f>
        <v>0.44189222179102261</v>
      </c>
      <c r="P44" s="287">
        <f>'Initial unit rates'!P172</f>
        <v>0</v>
      </c>
      <c r="Q44" s="287">
        <f>'Initial unit rates'!Q172</f>
        <v>0.99162817033493267</v>
      </c>
      <c r="R44" s="287">
        <f>'Initial unit rates'!R172</f>
        <v>-0.41229547446972797</v>
      </c>
      <c r="S44" s="287">
        <f>'Initial unit rates'!S172</f>
        <v>0</v>
      </c>
      <c r="T44" s="287">
        <f>'Initial unit rates'!T172</f>
        <v>-0.41229547446972797</v>
      </c>
      <c r="U44" s="287">
        <f>'Initial unit rates'!U172</f>
        <v>-0.41229547446972797</v>
      </c>
      <c r="V44" s="287">
        <f>'Initial unit rates'!V172</f>
        <v>0</v>
      </c>
      <c r="W44" s="287">
        <f>'Initial unit rates'!W172</f>
        <v>0</v>
      </c>
      <c r="X44" s="287">
        <f>'Initial unit rates'!X172</f>
        <v>0</v>
      </c>
      <c r="Y44" s="287">
        <f>'Initial unit rates'!Y172</f>
        <v>0</v>
      </c>
      <c r="Z44" s="272"/>
      <c r="AA44" s="272"/>
    </row>
    <row r="45" spans="4:27" x14ac:dyDescent="0.25">
      <c r="D45"/>
      <c r="F45" t="s">
        <v>199</v>
      </c>
      <c r="G45" t="s">
        <v>269</v>
      </c>
      <c r="H45" s="272"/>
      <c r="I45" s="272"/>
      <c r="J45" s="287">
        <f>'Initial unit rates'!J173</f>
        <v>1.3652285227378738</v>
      </c>
      <c r="K45" s="287">
        <f>'Initial unit rates'!K173</f>
        <v>1.3652285227378738</v>
      </c>
      <c r="L45" s="287">
        <f>'Initial unit rates'!L173</f>
        <v>1.4257005987757265</v>
      </c>
      <c r="M45" s="287">
        <f>'Initial unit rates'!M173</f>
        <v>1.4257005987757265</v>
      </c>
      <c r="N45" s="287">
        <f>'Initial unit rates'!N173</f>
        <v>1.2719391708358756</v>
      </c>
      <c r="O45" s="287">
        <f>'Initial unit rates'!O173</f>
        <v>0</v>
      </c>
      <c r="P45" s="287">
        <f>'Initial unit rates'!P173</f>
        <v>0</v>
      </c>
      <c r="Q45" s="287">
        <f>'Initial unit rates'!Q173</f>
        <v>2.3539358588337493</v>
      </c>
      <c r="R45" s="287">
        <f>'Initial unit rates'!R173</f>
        <v>0</v>
      </c>
      <c r="S45" s="287">
        <f>'Initial unit rates'!S173</f>
        <v>0</v>
      </c>
      <c r="T45" s="287">
        <f>'Initial unit rates'!T173</f>
        <v>0</v>
      </c>
      <c r="U45" s="287">
        <f>'Initial unit rates'!U173</f>
        <v>0</v>
      </c>
      <c r="V45" s="287">
        <f>'Initial unit rates'!V173</f>
        <v>0</v>
      </c>
      <c r="W45" s="287">
        <f>'Initial unit rates'!W173</f>
        <v>0</v>
      </c>
      <c r="X45" s="287">
        <f>'Initial unit rates'!X173</f>
        <v>0</v>
      </c>
      <c r="Y45" s="287">
        <f>'Initial unit rates'!Y173</f>
        <v>0</v>
      </c>
      <c r="Z45" s="272"/>
      <c r="AA45" s="272"/>
    </row>
    <row r="46" spans="4:27" x14ac:dyDescent="0.25">
      <c r="D46"/>
      <c r="F46" s="23" t="s">
        <v>376</v>
      </c>
      <c r="G46" s="23" t="s">
        <v>269</v>
      </c>
      <c r="H46" s="270"/>
      <c r="I46" s="270" t="s">
        <v>154</v>
      </c>
      <c r="J46" s="288"/>
      <c r="K46" s="288"/>
      <c r="L46" s="288"/>
      <c r="M46" s="288"/>
      <c r="N46" s="288"/>
      <c r="O46" s="288"/>
      <c r="P46" s="288"/>
      <c r="Q46" s="286">
        <f>'Service model charges'!$Q$44</f>
        <v>2.1262931523237087</v>
      </c>
      <c r="R46" s="288"/>
      <c r="S46" s="288"/>
      <c r="T46" s="288"/>
      <c r="U46" s="288"/>
      <c r="V46" s="288"/>
      <c r="W46" s="288"/>
      <c r="X46" s="288"/>
      <c r="Y46" s="288"/>
      <c r="Z46" s="272"/>
      <c r="AA46" s="272" t="s">
        <v>654</v>
      </c>
    </row>
    <row r="47" spans="4:27" x14ac:dyDescent="0.25">
      <c r="D47"/>
      <c r="F47" s="37" t="s">
        <v>377</v>
      </c>
      <c r="G47" s="37" t="s">
        <v>269</v>
      </c>
      <c r="H47" s="276"/>
      <c r="I47" s="276"/>
      <c r="J47" s="277"/>
      <c r="K47" s="277"/>
      <c r="L47" s="277"/>
      <c r="M47" s="277"/>
      <c r="N47" s="277"/>
      <c r="O47" s="277"/>
      <c r="P47" s="277"/>
      <c r="Q47" s="277"/>
      <c r="R47" s="277"/>
      <c r="S47" s="277"/>
      <c r="T47" s="277"/>
      <c r="U47" s="277"/>
      <c r="V47" s="277"/>
      <c r="W47" s="277"/>
      <c r="X47" s="277"/>
      <c r="Y47" s="277"/>
      <c r="Z47" s="272"/>
      <c r="AA47" s="272"/>
    </row>
    <row r="48" spans="4:27" x14ac:dyDescent="0.25">
      <c r="J48" s="89"/>
      <c r="K48" s="89"/>
      <c r="L48" s="89"/>
      <c r="M48" s="89"/>
      <c r="N48" s="89"/>
      <c r="O48" s="89"/>
      <c r="P48" s="89"/>
      <c r="Q48" s="89"/>
      <c r="R48" s="89"/>
      <c r="S48" s="89"/>
      <c r="T48" s="89"/>
      <c r="U48" s="89"/>
      <c r="V48" s="89"/>
      <c r="W48" s="89"/>
      <c r="X48" s="89"/>
      <c r="Y48" s="89"/>
    </row>
    <row r="49" spans="3:27" x14ac:dyDescent="0.25">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25">
      <c r="C50" s="32"/>
      <c r="D50"/>
      <c r="E50" s="32"/>
      <c r="J50" s="89"/>
      <c r="K50" s="89"/>
      <c r="L50" s="89"/>
      <c r="M50" s="89"/>
      <c r="N50" s="89"/>
      <c r="O50" s="89"/>
      <c r="P50" s="89"/>
      <c r="Q50" s="89"/>
      <c r="R50" s="89"/>
      <c r="S50" s="89"/>
      <c r="T50" s="89"/>
      <c r="U50" s="89"/>
      <c r="V50" s="89"/>
      <c r="W50" s="89"/>
      <c r="X50" s="89"/>
      <c r="Y50" s="89"/>
    </row>
    <row r="51" spans="3:27" x14ac:dyDescent="0.25">
      <c r="D51"/>
      <c r="E51" s="32" t="s">
        <v>621</v>
      </c>
      <c r="J51" s="89"/>
      <c r="K51" s="89"/>
      <c r="L51" s="89"/>
      <c r="M51" s="89"/>
      <c r="N51" s="89"/>
      <c r="O51" s="89"/>
      <c r="P51" s="89"/>
      <c r="Q51" s="89"/>
      <c r="R51" s="89"/>
      <c r="S51" s="89"/>
      <c r="T51" s="89"/>
      <c r="U51" s="89"/>
      <c r="V51" s="89"/>
      <c r="W51" s="89"/>
      <c r="X51" s="89"/>
      <c r="Y51" s="89"/>
    </row>
    <row r="52" spans="3:27" x14ac:dyDescent="0.25">
      <c r="D52"/>
      <c r="F52" s="23" t="s">
        <v>189</v>
      </c>
      <c r="G52" s="23" t="s">
        <v>269</v>
      </c>
      <c r="H52" s="270"/>
      <c r="I52" s="270"/>
      <c r="J52" s="286">
        <f>'Initial unit rates'!J181</f>
        <v>0</v>
      </c>
      <c r="K52" s="286">
        <f>'Initial unit rates'!K181</f>
        <v>0</v>
      </c>
      <c r="L52" s="286">
        <f>'Initial unit rates'!L181</f>
        <v>0</v>
      </c>
      <c r="M52" s="286">
        <f>'Initial unit rates'!M181</f>
        <v>0</v>
      </c>
      <c r="N52" s="286">
        <f>'Initial unit rates'!N181</f>
        <v>0</v>
      </c>
      <c r="O52" s="286">
        <f>'Initial unit rates'!O181</f>
        <v>0</v>
      </c>
      <c r="P52" s="286">
        <f>'Initial unit rates'!P181</f>
        <v>0</v>
      </c>
      <c r="Q52" s="286">
        <f>'Initial unit rates'!Q181</f>
        <v>0</v>
      </c>
      <c r="R52" s="286">
        <f>'Initial unit rates'!R181</f>
        <v>0</v>
      </c>
      <c r="S52" s="286">
        <f>'Initial unit rates'!S181</f>
        <v>0</v>
      </c>
      <c r="T52" s="286">
        <f>'Initial unit rates'!T181</f>
        <v>0</v>
      </c>
      <c r="U52" s="286">
        <f>'Initial unit rates'!U181</f>
        <v>0</v>
      </c>
      <c r="V52" s="286">
        <f>'Initial unit rates'!V181</f>
        <v>0</v>
      </c>
      <c r="W52" s="286">
        <f>'Initial unit rates'!W181</f>
        <v>0</v>
      </c>
      <c r="X52" s="286">
        <f>'Initial unit rates'!X181</f>
        <v>0</v>
      </c>
      <c r="Y52" s="286">
        <f>'Initial unit rates'!Y181</f>
        <v>0</v>
      </c>
      <c r="Z52" s="272"/>
      <c r="AA52" s="272"/>
    </row>
    <row r="53" spans="3:27" x14ac:dyDescent="0.25">
      <c r="D53"/>
      <c r="F53" t="s">
        <v>191</v>
      </c>
      <c r="G53" t="s">
        <v>269</v>
      </c>
      <c r="H53" s="272"/>
      <c r="I53" s="272"/>
      <c r="J53" s="287">
        <f>'Initial unit rates'!J182</f>
        <v>0</v>
      </c>
      <c r="K53" s="287">
        <f>'Initial unit rates'!K182</f>
        <v>0</v>
      </c>
      <c r="L53" s="287">
        <f>'Initial unit rates'!L182</f>
        <v>0</v>
      </c>
      <c r="M53" s="287">
        <f>'Initial unit rates'!M182</f>
        <v>0</v>
      </c>
      <c r="N53" s="287">
        <f>'Initial unit rates'!N182</f>
        <v>0</v>
      </c>
      <c r="O53" s="287">
        <f>'Initial unit rates'!O182</f>
        <v>0</v>
      </c>
      <c r="P53" s="287">
        <f>'Initial unit rates'!P182</f>
        <v>0</v>
      </c>
      <c r="Q53" s="287">
        <f>'Initial unit rates'!Q182</f>
        <v>0</v>
      </c>
      <c r="R53" s="287">
        <f>'Initial unit rates'!R182</f>
        <v>0</v>
      </c>
      <c r="S53" s="287">
        <f>'Initial unit rates'!S182</f>
        <v>0</v>
      </c>
      <c r="T53" s="287">
        <f>'Initial unit rates'!T182</f>
        <v>0</v>
      </c>
      <c r="U53" s="287">
        <f>'Initial unit rates'!U182</f>
        <v>0</v>
      </c>
      <c r="V53" s="287">
        <f>'Initial unit rates'!V182</f>
        <v>0</v>
      </c>
      <c r="W53" s="287">
        <f>'Initial unit rates'!W182</f>
        <v>0</v>
      </c>
      <c r="X53" s="287">
        <f>'Initial unit rates'!X182</f>
        <v>0</v>
      </c>
      <c r="Y53" s="287">
        <f>'Initial unit rates'!Y182</f>
        <v>0</v>
      </c>
      <c r="Z53" s="272"/>
      <c r="AA53" s="272"/>
    </row>
    <row r="54" spans="3:27" x14ac:dyDescent="0.25">
      <c r="D54"/>
      <c r="F54" t="s">
        <v>192</v>
      </c>
      <c r="G54" t="s">
        <v>269</v>
      </c>
      <c r="H54" s="272"/>
      <c r="I54" s="272"/>
      <c r="J54" s="287">
        <f>'Initial unit rates'!J183</f>
        <v>0</v>
      </c>
      <c r="K54" s="287">
        <f>'Initial unit rates'!K183</f>
        <v>0</v>
      </c>
      <c r="L54" s="287">
        <f>'Initial unit rates'!L183</f>
        <v>0</v>
      </c>
      <c r="M54" s="287">
        <f>'Initial unit rates'!M183</f>
        <v>0</v>
      </c>
      <c r="N54" s="287">
        <f>'Initial unit rates'!N183</f>
        <v>0</v>
      </c>
      <c r="O54" s="287">
        <f>'Initial unit rates'!O183</f>
        <v>0</v>
      </c>
      <c r="P54" s="287">
        <f>'Initial unit rates'!P183</f>
        <v>0</v>
      </c>
      <c r="Q54" s="287">
        <f>'Initial unit rates'!Q183</f>
        <v>0</v>
      </c>
      <c r="R54" s="287">
        <f>'Initial unit rates'!R183</f>
        <v>0</v>
      </c>
      <c r="S54" s="287">
        <f>'Initial unit rates'!S183</f>
        <v>0</v>
      </c>
      <c r="T54" s="287">
        <f>'Initial unit rates'!T183</f>
        <v>0</v>
      </c>
      <c r="U54" s="287">
        <f>'Initial unit rates'!U183</f>
        <v>0</v>
      </c>
      <c r="V54" s="287">
        <f>'Initial unit rates'!V183</f>
        <v>0</v>
      </c>
      <c r="W54" s="287">
        <f>'Initial unit rates'!W183</f>
        <v>0</v>
      </c>
      <c r="X54" s="287">
        <f>'Initial unit rates'!X183</f>
        <v>0</v>
      </c>
      <c r="Y54" s="287">
        <f>'Initial unit rates'!Y183</f>
        <v>0</v>
      </c>
      <c r="Z54" s="272"/>
      <c r="AA54" s="272"/>
    </row>
    <row r="55" spans="3:27" x14ac:dyDescent="0.25">
      <c r="D55"/>
      <c r="F55" t="s">
        <v>193</v>
      </c>
      <c r="G55" t="s">
        <v>269</v>
      </c>
      <c r="H55" s="272"/>
      <c r="I55" s="272"/>
      <c r="J55" s="287">
        <f>'Initial unit rates'!J184</f>
        <v>0</v>
      </c>
      <c r="K55" s="287">
        <f>'Initial unit rates'!K184</f>
        <v>0</v>
      </c>
      <c r="L55" s="287">
        <f>'Initial unit rates'!L184</f>
        <v>0</v>
      </c>
      <c r="M55" s="287">
        <f>'Initial unit rates'!M184</f>
        <v>0</v>
      </c>
      <c r="N55" s="287">
        <f>'Initial unit rates'!N184</f>
        <v>0</v>
      </c>
      <c r="O55" s="287">
        <f>'Initial unit rates'!O184</f>
        <v>0</v>
      </c>
      <c r="P55" s="287">
        <f>'Initial unit rates'!P184</f>
        <v>0</v>
      </c>
      <c r="Q55" s="287">
        <f>'Initial unit rates'!Q184</f>
        <v>0</v>
      </c>
      <c r="R55" s="287">
        <f>'Initial unit rates'!R184</f>
        <v>0</v>
      </c>
      <c r="S55" s="287">
        <f>'Initial unit rates'!S184</f>
        <v>0</v>
      </c>
      <c r="T55" s="287">
        <f>'Initial unit rates'!T184</f>
        <v>0</v>
      </c>
      <c r="U55" s="287">
        <f>'Initial unit rates'!U184</f>
        <v>0</v>
      </c>
      <c r="V55" s="287">
        <f>'Initial unit rates'!V184</f>
        <v>0</v>
      </c>
      <c r="W55" s="287">
        <f>'Initial unit rates'!W184</f>
        <v>0</v>
      </c>
      <c r="X55" s="287">
        <f>'Initial unit rates'!X184</f>
        <v>0</v>
      </c>
      <c r="Y55" s="287">
        <f>'Initial unit rates'!Y184</f>
        <v>0</v>
      </c>
      <c r="Z55" s="272"/>
      <c r="AA55" s="272"/>
    </row>
    <row r="56" spans="3:27" x14ac:dyDescent="0.25">
      <c r="D56"/>
      <c r="F56" t="s">
        <v>194</v>
      </c>
      <c r="G56" t="s">
        <v>269</v>
      </c>
      <c r="H56" s="272"/>
      <c r="I56" s="272"/>
      <c r="J56" s="287">
        <f>'Initial unit rates'!J185</f>
        <v>0.12072745659257347</v>
      </c>
      <c r="K56" s="287">
        <f>'Initial unit rates'!K185</f>
        <v>0.12072745659257347</v>
      </c>
      <c r="L56" s="287">
        <f>'Initial unit rates'!L185</f>
        <v>0.12607501549083155</v>
      </c>
      <c r="M56" s="287">
        <f>'Initial unit rates'!M185</f>
        <v>0.12607501549083155</v>
      </c>
      <c r="N56" s="287">
        <f>'Initial unit rates'!N185</f>
        <v>0.11247785881848696</v>
      </c>
      <c r="O56" s="287">
        <f>'Initial unit rates'!O185</f>
        <v>9.2760445205198452E-2</v>
      </c>
      <c r="P56" s="287">
        <f>'Initial unit rates'!P185</f>
        <v>9.2411166818371818E-2</v>
      </c>
      <c r="Q56" s="287">
        <f>'Initial unit rates'!Q185</f>
        <v>0.11483891619607868</v>
      </c>
      <c r="R56" s="287">
        <f>'Initial unit rates'!R185</f>
        <v>-8.6547601161413967E-2</v>
      </c>
      <c r="S56" s="287">
        <f>'Initial unit rates'!S185</f>
        <v>-8.3855361052092764E-2</v>
      </c>
      <c r="T56" s="287">
        <f>'Initial unit rates'!T185</f>
        <v>-8.6547601161413967E-2</v>
      </c>
      <c r="U56" s="287">
        <f>'Initial unit rates'!U185</f>
        <v>-8.6547601161413967E-2</v>
      </c>
      <c r="V56" s="287">
        <f>'Initial unit rates'!V185</f>
        <v>-8.3855361052092764E-2</v>
      </c>
      <c r="W56" s="287">
        <f>'Initial unit rates'!W185</f>
        <v>-8.3855361052092764E-2</v>
      </c>
      <c r="X56" s="287">
        <f>'Initial unit rates'!X185</f>
        <v>-8.1599512704915347E-2</v>
      </c>
      <c r="Y56" s="287">
        <f>'Initial unit rates'!Y185</f>
        <v>-8.1599512704915347E-2</v>
      </c>
      <c r="Z56" s="272"/>
      <c r="AA56" s="272"/>
    </row>
    <row r="57" spans="3:27" x14ac:dyDescent="0.25">
      <c r="D57"/>
      <c r="F57" t="s">
        <v>195</v>
      </c>
      <c r="G57" t="s">
        <v>269</v>
      </c>
      <c r="H57" s="272"/>
      <c r="I57" s="272"/>
      <c r="J57" s="287">
        <f>'Initial unit rates'!J186</f>
        <v>0.10948355508393108</v>
      </c>
      <c r="K57" s="287">
        <f>'Initial unit rates'!K186</f>
        <v>0.10948355508393108</v>
      </c>
      <c r="L57" s="287">
        <f>'Initial unit rates'!L186</f>
        <v>0.11433307130605962</v>
      </c>
      <c r="M57" s="287">
        <f>'Initial unit rates'!M186</f>
        <v>0.11433307130605962</v>
      </c>
      <c r="N57" s="287">
        <f>'Initial unit rates'!N186</f>
        <v>0.1020022801709049</v>
      </c>
      <c r="O57" s="287">
        <f>'Initial unit rates'!O186</f>
        <v>8.4121239682092702E-2</v>
      </c>
      <c r="P57" s="287">
        <f>'Initial unit rates'!P186</f>
        <v>8.3962786543950479E-2</v>
      </c>
      <c r="Q57" s="287">
        <f>'Initial unit rates'!Q186</f>
        <v>0.10414344145063144</v>
      </c>
      <c r="R57" s="287">
        <f>'Initial unit rates'!R186</f>
        <v>-7.8487026286948633E-2</v>
      </c>
      <c r="S57" s="287">
        <f>'Initial unit rates'!S186</f>
        <v>-7.6045526841608965E-2</v>
      </c>
      <c r="T57" s="287">
        <f>'Initial unit rates'!T186</f>
        <v>-7.8487026286948633E-2</v>
      </c>
      <c r="U57" s="287">
        <f>'Initial unit rates'!U186</f>
        <v>-7.8487026286948633E-2</v>
      </c>
      <c r="V57" s="287">
        <f>'Initial unit rates'!V186</f>
        <v>-7.6045526841608965E-2</v>
      </c>
      <c r="W57" s="287">
        <f>'Initial unit rates'!W186</f>
        <v>-7.6045526841608965E-2</v>
      </c>
      <c r="X57" s="287">
        <f>'Initial unit rates'!X186</f>
        <v>-7.4139551563059611E-2</v>
      </c>
      <c r="Y57" s="287">
        <f>'Initial unit rates'!Y186</f>
        <v>-7.4139551563059611E-2</v>
      </c>
      <c r="Z57" s="272"/>
      <c r="AA57" s="272"/>
    </row>
    <row r="58" spans="3:27" x14ac:dyDescent="0.25">
      <c r="D58"/>
      <c r="F58" t="s">
        <v>196</v>
      </c>
      <c r="G58" t="s">
        <v>269</v>
      </c>
      <c r="H58" s="272"/>
      <c r="I58" s="272"/>
      <c r="J58" s="287">
        <f>'Initial unit rates'!J187</f>
        <v>0</v>
      </c>
      <c r="K58" s="287">
        <f>'Initial unit rates'!K187</f>
        <v>0</v>
      </c>
      <c r="L58" s="287">
        <f>'Initial unit rates'!L187</f>
        <v>0</v>
      </c>
      <c r="M58" s="287">
        <f>'Initial unit rates'!M187</f>
        <v>0</v>
      </c>
      <c r="N58" s="287">
        <f>'Initial unit rates'!N187</f>
        <v>0</v>
      </c>
      <c r="O58" s="287">
        <f>'Initial unit rates'!O187</f>
        <v>0</v>
      </c>
      <c r="P58" s="287">
        <f>'Initial unit rates'!P187</f>
        <v>0</v>
      </c>
      <c r="Q58" s="287">
        <f>'Initial unit rates'!Q187</f>
        <v>0</v>
      </c>
      <c r="R58" s="287">
        <f>'Initial unit rates'!R187</f>
        <v>0</v>
      </c>
      <c r="S58" s="287">
        <f>'Initial unit rates'!S187</f>
        <v>0</v>
      </c>
      <c r="T58" s="287">
        <f>'Initial unit rates'!T187</f>
        <v>0</v>
      </c>
      <c r="U58" s="287">
        <f>'Initial unit rates'!U187</f>
        <v>0</v>
      </c>
      <c r="V58" s="287">
        <f>'Initial unit rates'!V187</f>
        <v>0</v>
      </c>
      <c r="W58" s="287">
        <f>'Initial unit rates'!W187</f>
        <v>0</v>
      </c>
      <c r="X58" s="287">
        <f>'Initial unit rates'!X187</f>
        <v>0</v>
      </c>
      <c r="Y58" s="287">
        <f>'Initial unit rates'!Y187</f>
        <v>0</v>
      </c>
      <c r="Z58" s="272"/>
      <c r="AA58" s="272"/>
    </row>
    <row r="59" spans="3:27" x14ac:dyDescent="0.25">
      <c r="D59"/>
      <c r="F59" t="s">
        <v>197</v>
      </c>
      <c r="G59" t="s">
        <v>269</v>
      </c>
      <c r="H59" s="272"/>
      <c r="I59" s="272"/>
      <c r="J59" s="287">
        <f>'Initial unit rates'!J188</f>
        <v>0.26112345759518357</v>
      </c>
      <c r="K59" s="287">
        <f>'Initial unit rates'!K188</f>
        <v>0.26112345759518357</v>
      </c>
      <c r="L59" s="287">
        <f>'Initial unit rates'!L188</f>
        <v>0.27268978317362641</v>
      </c>
      <c r="M59" s="287">
        <f>'Initial unit rates'!M188</f>
        <v>0.27268978317362641</v>
      </c>
      <c r="N59" s="287">
        <f>'Initial unit rates'!N188</f>
        <v>0.24328026305320963</v>
      </c>
      <c r="O59" s="287">
        <f>'Initial unit rates'!O188</f>
        <v>0.20063313569002994</v>
      </c>
      <c r="P59" s="287">
        <f>'Initial unit rates'!P188</f>
        <v>0.21361706101703673</v>
      </c>
      <c r="Q59" s="287">
        <f>'Initial unit rates'!Q188</f>
        <v>0.2483870339851775</v>
      </c>
      <c r="R59" s="287">
        <f>'Initial unit rates'!R188</f>
        <v>-0.18719527023670895</v>
      </c>
      <c r="S59" s="287">
        <f>'Initial unit rates'!S188</f>
        <v>-0.181372178573353</v>
      </c>
      <c r="T59" s="287">
        <f>'Initial unit rates'!T188</f>
        <v>-0.18719527023670895</v>
      </c>
      <c r="U59" s="287">
        <f>'Initial unit rates'!U188</f>
        <v>-0.18719527023670895</v>
      </c>
      <c r="V59" s="287">
        <f>'Initial unit rates'!V188</f>
        <v>-0.181372178573353</v>
      </c>
      <c r="W59" s="287">
        <f>'Initial unit rates'!W188</f>
        <v>-0.181372178573353</v>
      </c>
      <c r="X59" s="287">
        <f>'Initial unit rates'!X188</f>
        <v>0</v>
      </c>
      <c r="Y59" s="287">
        <f>'Initial unit rates'!Y188</f>
        <v>0</v>
      </c>
      <c r="Z59" s="272"/>
      <c r="AA59" s="272"/>
    </row>
    <row r="60" spans="3:27" x14ac:dyDescent="0.25">
      <c r="D60"/>
      <c r="F60" t="s">
        <v>198</v>
      </c>
      <c r="G60" t="s">
        <v>269</v>
      </c>
      <c r="H60" s="272"/>
      <c r="I60" s="272"/>
      <c r="J60" s="287">
        <f>'Initial unit rates'!J189</f>
        <v>2.391534025482633E-2</v>
      </c>
      <c r="K60" s="287">
        <f>'Initial unit rates'!K189</f>
        <v>2.391534025482633E-2</v>
      </c>
      <c r="L60" s="287">
        <f>'Initial unit rates'!L189</f>
        <v>2.4974657614722014E-2</v>
      </c>
      <c r="M60" s="287">
        <f>'Initial unit rates'!M189</f>
        <v>2.4974657614722014E-2</v>
      </c>
      <c r="N60" s="287">
        <f>'Initial unit rates'!N189</f>
        <v>2.2281147476305774E-2</v>
      </c>
      <c r="O60" s="287">
        <f>'Initial unit rates'!O189</f>
        <v>1.8375253416942759E-2</v>
      </c>
      <c r="P60" s="287">
        <f>'Initial unit rates'!P189</f>
        <v>0</v>
      </c>
      <c r="Q60" s="287">
        <f>'Initial unit rates'!Q189</f>
        <v>2.2748857905564888E-2</v>
      </c>
      <c r="R60" s="287">
        <f>'Initial unit rates'!R189</f>
        <v>-1.7144528580597479E-2</v>
      </c>
      <c r="S60" s="287">
        <f>'Initial unit rates'!S189</f>
        <v>0</v>
      </c>
      <c r="T60" s="287">
        <f>'Initial unit rates'!T189</f>
        <v>-1.7144528580597479E-2</v>
      </c>
      <c r="U60" s="287">
        <f>'Initial unit rates'!U189</f>
        <v>-1.7144528580597479E-2</v>
      </c>
      <c r="V60" s="287">
        <f>'Initial unit rates'!V189</f>
        <v>0</v>
      </c>
      <c r="W60" s="287">
        <f>'Initial unit rates'!W189</f>
        <v>0</v>
      </c>
      <c r="X60" s="287">
        <f>'Initial unit rates'!X189</f>
        <v>0</v>
      </c>
      <c r="Y60" s="287">
        <f>'Initial unit rates'!Y189</f>
        <v>0</v>
      </c>
      <c r="Z60" s="272"/>
      <c r="AA60" s="272"/>
    </row>
    <row r="61" spans="3:27" x14ac:dyDescent="0.25">
      <c r="D61"/>
      <c r="F61" t="s">
        <v>199</v>
      </c>
      <c r="G61" t="s">
        <v>269</v>
      </c>
      <c r="H61" s="272"/>
      <c r="I61" s="272"/>
      <c r="J61" s="287">
        <f>'Initial unit rates'!J190</f>
        <v>8.6850634814805965E-3</v>
      </c>
      <c r="K61" s="287">
        <f>'Initial unit rates'!K190</f>
        <v>8.6850634814805965E-3</v>
      </c>
      <c r="L61" s="287">
        <f>'Initial unit rates'!L190</f>
        <v>9.0697637792684031E-3</v>
      </c>
      <c r="M61" s="287">
        <f>'Initial unit rates'!M190</f>
        <v>9.0697637792684031E-3</v>
      </c>
      <c r="N61" s="287">
        <f>'Initial unit rates'!N190</f>
        <v>8.0915921835105035E-3</v>
      </c>
      <c r="O61" s="287">
        <f>'Initial unit rates'!O190</f>
        <v>0</v>
      </c>
      <c r="P61" s="287">
        <f>'Initial unit rates'!P190</f>
        <v>0</v>
      </c>
      <c r="Q61" s="287">
        <f>'Initial unit rates'!Q190</f>
        <v>8.2614452872415371E-3</v>
      </c>
      <c r="R61" s="287">
        <f>'Initial unit rates'!R190</f>
        <v>0</v>
      </c>
      <c r="S61" s="287">
        <f>'Initial unit rates'!S190</f>
        <v>0</v>
      </c>
      <c r="T61" s="287">
        <f>'Initial unit rates'!T190</f>
        <v>0</v>
      </c>
      <c r="U61" s="287">
        <f>'Initial unit rates'!U190</f>
        <v>0</v>
      </c>
      <c r="V61" s="287">
        <f>'Initial unit rates'!V190</f>
        <v>0</v>
      </c>
      <c r="W61" s="287">
        <f>'Initial unit rates'!W190</f>
        <v>0</v>
      </c>
      <c r="X61" s="287">
        <f>'Initial unit rates'!X190</f>
        <v>0</v>
      </c>
      <c r="Y61" s="287">
        <f>'Initial unit rates'!Y190</f>
        <v>0</v>
      </c>
      <c r="Z61" s="272"/>
      <c r="AA61" s="272"/>
    </row>
    <row r="62" spans="3:27" x14ac:dyDescent="0.25">
      <c r="D62"/>
      <c r="F62" s="23" t="s">
        <v>376</v>
      </c>
      <c r="G62" s="23" t="s">
        <v>269</v>
      </c>
      <c r="H62" s="270"/>
      <c r="I62" s="270"/>
      <c r="J62" s="288"/>
      <c r="K62" s="288"/>
      <c r="L62" s="288"/>
      <c r="M62" s="288"/>
      <c r="N62" s="288"/>
      <c r="O62" s="288"/>
      <c r="P62" s="288"/>
      <c r="Q62" s="288"/>
      <c r="R62" s="288"/>
      <c r="S62" s="288"/>
      <c r="T62" s="288"/>
      <c r="U62" s="288"/>
      <c r="V62" s="288"/>
      <c r="W62" s="288"/>
      <c r="X62" s="288"/>
      <c r="Y62" s="288"/>
      <c r="Z62" s="272"/>
      <c r="AA62" s="272"/>
    </row>
    <row r="63" spans="3:27" x14ac:dyDescent="0.25">
      <c r="D63"/>
      <c r="F63" s="37" t="s">
        <v>377</v>
      </c>
      <c r="G63" s="37" t="s">
        <v>269</v>
      </c>
      <c r="H63" s="276"/>
      <c r="I63" s="276"/>
      <c r="J63" s="277"/>
      <c r="K63" s="277"/>
      <c r="L63" s="277"/>
      <c r="M63" s="277"/>
      <c r="N63" s="277"/>
      <c r="O63" s="277"/>
      <c r="P63" s="277"/>
      <c r="Q63" s="277"/>
      <c r="R63" s="277"/>
      <c r="S63" s="277"/>
      <c r="T63" s="277"/>
      <c r="U63" s="277"/>
      <c r="V63" s="277"/>
      <c r="W63" s="277"/>
      <c r="X63" s="277"/>
      <c r="Y63" s="277"/>
      <c r="Z63" s="272"/>
      <c r="AA63" s="272"/>
    </row>
    <row r="64" spans="3:27" x14ac:dyDescent="0.25">
      <c r="D64"/>
      <c r="J64" s="89"/>
      <c r="K64" s="89"/>
      <c r="L64" s="89"/>
      <c r="M64" s="89"/>
      <c r="N64" s="89"/>
      <c r="O64" s="89"/>
      <c r="P64" s="89"/>
      <c r="Q64" s="89"/>
      <c r="R64" s="89"/>
      <c r="S64" s="89"/>
      <c r="T64" s="89"/>
      <c r="U64" s="89"/>
      <c r="V64" s="89"/>
      <c r="W64" s="89"/>
      <c r="X64" s="89"/>
      <c r="Y64" s="89"/>
    </row>
    <row r="65" spans="3:27" x14ac:dyDescent="0.25">
      <c r="D65"/>
      <c r="E65" s="32" t="s">
        <v>622</v>
      </c>
      <c r="J65" s="89"/>
      <c r="K65" s="89"/>
      <c r="L65" s="89"/>
      <c r="M65" s="89"/>
      <c r="N65" s="89"/>
      <c r="O65" s="89"/>
      <c r="P65" s="89"/>
      <c r="Q65" s="89"/>
      <c r="R65" s="89"/>
      <c r="S65" s="89"/>
      <c r="T65" s="89"/>
      <c r="U65" s="89"/>
      <c r="V65" s="89"/>
      <c r="W65" s="89"/>
      <c r="X65" s="89"/>
      <c r="Y65" s="89"/>
    </row>
    <row r="66" spans="3:27" x14ac:dyDescent="0.25">
      <c r="D66"/>
      <c r="F66" s="23" t="s">
        <v>189</v>
      </c>
      <c r="G66" s="23" t="s">
        <v>269</v>
      </c>
      <c r="H66" s="270"/>
      <c r="I66" s="270"/>
      <c r="J66" s="286">
        <f>'Initial unit rates'!J193</f>
        <v>0.33625450336710122</v>
      </c>
      <c r="K66" s="286">
        <f>'Initial unit rates'!K193</f>
        <v>0.33625450336710122</v>
      </c>
      <c r="L66" s="286">
        <f>'Initial unit rates'!L193</f>
        <v>0.35114871891931315</v>
      </c>
      <c r="M66" s="286">
        <f>'Initial unit rates'!M193</f>
        <v>0.35114871891931315</v>
      </c>
      <c r="N66" s="286">
        <f>'Initial unit rates'!N193</f>
        <v>0.31327742358097371</v>
      </c>
      <c r="O66" s="286">
        <f>'Initial unit rates'!O193</f>
        <v>0.25835976599629551</v>
      </c>
      <c r="P66" s="286">
        <f>'Initial unit rates'!P193</f>
        <v>0.25875787459802208</v>
      </c>
      <c r="Q66" s="286">
        <f>'Initial unit rates'!Q193</f>
        <v>0.30390123569151317</v>
      </c>
      <c r="R66" s="286">
        <f>'Initial unit rates'!R193</f>
        <v>-0.24105552678341946</v>
      </c>
      <c r="S66" s="286">
        <f>'Initial unit rates'!S193</f>
        <v>-0.23355700170506971</v>
      </c>
      <c r="T66" s="286">
        <f>'Initial unit rates'!T193</f>
        <v>-0.24105552678341946</v>
      </c>
      <c r="U66" s="286">
        <f>'Initial unit rates'!U193</f>
        <v>-0.24105552678341946</v>
      </c>
      <c r="V66" s="286">
        <f>'Initial unit rates'!V193</f>
        <v>-0.23355700170506971</v>
      </c>
      <c r="W66" s="286">
        <f>'Initial unit rates'!W193</f>
        <v>-0.23355700170506971</v>
      </c>
      <c r="X66" s="286">
        <f>'Initial unit rates'!X193</f>
        <v>-0.22848447003442138</v>
      </c>
      <c r="Y66" s="286">
        <f>'Initial unit rates'!Y193</f>
        <v>-0.22848447003442138</v>
      </c>
      <c r="Z66" s="272"/>
      <c r="AA66" s="272"/>
    </row>
    <row r="67" spans="3:27" x14ac:dyDescent="0.25">
      <c r="D67"/>
      <c r="F67" t="s">
        <v>191</v>
      </c>
      <c r="G67" t="s">
        <v>269</v>
      </c>
      <c r="H67" s="272"/>
      <c r="I67" s="272"/>
      <c r="J67" s="287">
        <f>'Initial unit rates'!J194</f>
        <v>0</v>
      </c>
      <c r="K67" s="287">
        <f>'Initial unit rates'!K194</f>
        <v>0</v>
      </c>
      <c r="L67" s="287">
        <f>'Initial unit rates'!L194</f>
        <v>0</v>
      </c>
      <c r="M67" s="287">
        <f>'Initial unit rates'!M194</f>
        <v>0</v>
      </c>
      <c r="N67" s="287">
        <f>'Initial unit rates'!N194</f>
        <v>0</v>
      </c>
      <c r="O67" s="287">
        <f>'Initial unit rates'!O194</f>
        <v>0</v>
      </c>
      <c r="P67" s="287">
        <f>'Initial unit rates'!P194</f>
        <v>0</v>
      </c>
      <c r="Q67" s="287">
        <f>'Initial unit rates'!Q194</f>
        <v>0</v>
      </c>
      <c r="R67" s="287">
        <f>'Initial unit rates'!R194</f>
        <v>0</v>
      </c>
      <c r="S67" s="287">
        <f>'Initial unit rates'!S194</f>
        <v>0</v>
      </c>
      <c r="T67" s="287">
        <f>'Initial unit rates'!T194</f>
        <v>0</v>
      </c>
      <c r="U67" s="287">
        <f>'Initial unit rates'!U194</f>
        <v>0</v>
      </c>
      <c r="V67" s="287">
        <f>'Initial unit rates'!V194</f>
        <v>0</v>
      </c>
      <c r="W67" s="287">
        <f>'Initial unit rates'!W194</f>
        <v>0</v>
      </c>
      <c r="X67" s="287">
        <f>'Initial unit rates'!X194</f>
        <v>0</v>
      </c>
      <c r="Y67" s="287">
        <f>'Initial unit rates'!Y194</f>
        <v>0</v>
      </c>
      <c r="Z67" s="272"/>
      <c r="AA67" s="272"/>
    </row>
    <row r="68" spans="3:27" x14ac:dyDescent="0.25">
      <c r="D68"/>
      <c r="F68" t="s">
        <v>192</v>
      </c>
      <c r="G68" t="s">
        <v>269</v>
      </c>
      <c r="H68" s="272"/>
      <c r="I68" s="272"/>
      <c r="J68" s="287">
        <f>'Initial unit rates'!J195</f>
        <v>0</v>
      </c>
      <c r="K68" s="287">
        <f>'Initial unit rates'!K195</f>
        <v>0</v>
      </c>
      <c r="L68" s="287">
        <f>'Initial unit rates'!L195</f>
        <v>0</v>
      </c>
      <c r="M68" s="287">
        <f>'Initial unit rates'!M195</f>
        <v>0</v>
      </c>
      <c r="N68" s="287">
        <f>'Initial unit rates'!N195</f>
        <v>0</v>
      </c>
      <c r="O68" s="287">
        <f>'Initial unit rates'!O195</f>
        <v>0</v>
      </c>
      <c r="P68" s="287">
        <f>'Initial unit rates'!P195</f>
        <v>0</v>
      </c>
      <c r="Q68" s="287">
        <f>'Initial unit rates'!Q195</f>
        <v>0</v>
      </c>
      <c r="R68" s="287">
        <f>'Initial unit rates'!R195</f>
        <v>0</v>
      </c>
      <c r="S68" s="287">
        <f>'Initial unit rates'!S195</f>
        <v>0</v>
      </c>
      <c r="T68" s="287">
        <f>'Initial unit rates'!T195</f>
        <v>0</v>
      </c>
      <c r="U68" s="287">
        <f>'Initial unit rates'!U195</f>
        <v>0</v>
      </c>
      <c r="V68" s="287">
        <f>'Initial unit rates'!V195</f>
        <v>0</v>
      </c>
      <c r="W68" s="287">
        <f>'Initial unit rates'!W195</f>
        <v>0</v>
      </c>
      <c r="X68" s="287">
        <f>'Initial unit rates'!X195</f>
        <v>0</v>
      </c>
      <c r="Y68" s="287">
        <f>'Initial unit rates'!Y195</f>
        <v>0</v>
      </c>
      <c r="Z68" s="272"/>
      <c r="AA68" s="272"/>
    </row>
    <row r="69" spans="3:27" x14ac:dyDescent="0.25">
      <c r="D69"/>
      <c r="F69" t="s">
        <v>193</v>
      </c>
      <c r="G69" t="s">
        <v>269</v>
      </c>
      <c r="H69" s="272"/>
      <c r="I69" s="272"/>
      <c r="J69" s="287">
        <f>'Initial unit rates'!J196</f>
        <v>0</v>
      </c>
      <c r="K69" s="287">
        <f>'Initial unit rates'!K196</f>
        <v>0</v>
      </c>
      <c r="L69" s="287">
        <f>'Initial unit rates'!L196</f>
        <v>0</v>
      </c>
      <c r="M69" s="287">
        <f>'Initial unit rates'!M196</f>
        <v>0</v>
      </c>
      <c r="N69" s="287">
        <f>'Initial unit rates'!N196</f>
        <v>0</v>
      </c>
      <c r="O69" s="287">
        <f>'Initial unit rates'!O196</f>
        <v>0</v>
      </c>
      <c r="P69" s="287">
        <f>'Initial unit rates'!P196</f>
        <v>0</v>
      </c>
      <c r="Q69" s="287">
        <f>'Initial unit rates'!Q196</f>
        <v>0</v>
      </c>
      <c r="R69" s="287">
        <f>'Initial unit rates'!R196</f>
        <v>0</v>
      </c>
      <c r="S69" s="287">
        <f>'Initial unit rates'!S196</f>
        <v>0</v>
      </c>
      <c r="T69" s="287">
        <f>'Initial unit rates'!T196</f>
        <v>0</v>
      </c>
      <c r="U69" s="287">
        <f>'Initial unit rates'!U196</f>
        <v>0</v>
      </c>
      <c r="V69" s="287">
        <f>'Initial unit rates'!V196</f>
        <v>0</v>
      </c>
      <c r="W69" s="287">
        <f>'Initial unit rates'!W196</f>
        <v>0</v>
      </c>
      <c r="X69" s="287">
        <f>'Initial unit rates'!X196</f>
        <v>0</v>
      </c>
      <c r="Y69" s="287">
        <f>'Initial unit rates'!Y196</f>
        <v>0</v>
      </c>
      <c r="Z69" s="272"/>
      <c r="AA69" s="272"/>
    </row>
    <row r="70" spans="3:27" x14ac:dyDescent="0.25">
      <c r="D70"/>
      <c r="F70" t="s">
        <v>194</v>
      </c>
      <c r="G70" t="s">
        <v>269</v>
      </c>
      <c r="H70" s="272"/>
      <c r="I70" s="272"/>
      <c r="J70" s="287">
        <f>'Initial unit rates'!J197</f>
        <v>0.10220042542336927</v>
      </c>
      <c r="K70" s="287">
        <f>'Initial unit rates'!K197</f>
        <v>0.10220042542336927</v>
      </c>
      <c r="L70" s="287">
        <f>'Initial unit rates'!L197</f>
        <v>0.10672733926553594</v>
      </c>
      <c r="M70" s="287">
        <f>'Initial unit rates'!M197</f>
        <v>0.10672733926553594</v>
      </c>
      <c r="N70" s="287">
        <f>'Initial unit rates'!N197</f>
        <v>9.5216824295014282E-2</v>
      </c>
      <c r="O70" s="287">
        <f>'Initial unit rates'!O197</f>
        <v>7.8525276933694516E-2</v>
      </c>
      <c r="P70" s="287">
        <f>'Initial unit rates'!P197</f>
        <v>7.864627715243877E-2</v>
      </c>
      <c r="Q70" s="287">
        <f>'Initial unit rates'!Q197</f>
        <v>9.7215549980532459E-2</v>
      </c>
      <c r="R70" s="287">
        <f>'Initial unit rates'!R197</f>
        <v>-7.3265866006927083E-2</v>
      </c>
      <c r="S70" s="287">
        <f>'Initial unit rates'!S197</f>
        <v>-7.0986781428486537E-2</v>
      </c>
      <c r="T70" s="287">
        <f>'Initial unit rates'!T197</f>
        <v>-7.3265866006927083E-2</v>
      </c>
      <c r="U70" s="287">
        <f>'Initial unit rates'!U197</f>
        <v>-7.3265866006927083E-2</v>
      </c>
      <c r="V70" s="287">
        <f>'Initial unit rates'!V197</f>
        <v>-7.0986781428486537E-2</v>
      </c>
      <c r="W70" s="287">
        <f>'Initial unit rates'!W197</f>
        <v>-7.0986781428486537E-2</v>
      </c>
      <c r="X70" s="287">
        <f>'Initial unit rates'!X197</f>
        <v>-6.9445047743070892E-2</v>
      </c>
      <c r="Y70" s="287">
        <f>'Initial unit rates'!Y197</f>
        <v>-6.9445047743070892E-2</v>
      </c>
      <c r="Z70" s="272"/>
      <c r="AA70" s="272"/>
    </row>
    <row r="71" spans="3:27" x14ac:dyDescent="0.25">
      <c r="D71"/>
      <c r="F71" t="s">
        <v>195</v>
      </c>
      <c r="G71" t="s">
        <v>269</v>
      </c>
      <c r="H71" s="272"/>
      <c r="I71" s="272"/>
      <c r="J71" s="287">
        <f>'Initial unit rates'!J198</f>
        <v>9.2470567323909306E-2</v>
      </c>
      <c r="K71" s="287">
        <f>'Initial unit rates'!K198</f>
        <v>9.2470567323909306E-2</v>
      </c>
      <c r="L71" s="287">
        <f>'Initial unit rates'!L198</f>
        <v>9.6566502242746668E-2</v>
      </c>
      <c r="M71" s="287">
        <f>'Initial unit rates'!M198</f>
        <v>9.6566502242746668E-2</v>
      </c>
      <c r="N71" s="287">
        <f>'Initial unit rates'!N198</f>
        <v>8.6151830825233117E-2</v>
      </c>
      <c r="O71" s="287">
        <f>'Initial unit rates'!O198</f>
        <v>7.1049380442847462E-2</v>
      </c>
      <c r="P71" s="287">
        <f>'Initial unit rates'!P198</f>
        <v>7.115886099370862E-2</v>
      </c>
      <c r="Q71" s="287">
        <f>'Initial unit rates'!Q198</f>
        <v>8.7960270440812977E-2</v>
      </c>
      <c r="R71" s="287">
        <f>'Initial unit rates'!R198</f>
        <v>-6.6290684868214905E-2</v>
      </c>
      <c r="S71" s="287">
        <f>'Initial unit rates'!S198</f>
        <v>-6.4228577562158815E-2</v>
      </c>
      <c r="T71" s="287">
        <f>'Initial unit rates'!T198</f>
        <v>-6.6290684868214905E-2</v>
      </c>
      <c r="U71" s="287">
        <f>'Initial unit rates'!U198</f>
        <v>-6.6290684868214905E-2</v>
      </c>
      <c r="V71" s="287">
        <f>'Initial unit rates'!V198</f>
        <v>-6.4228577562158815E-2</v>
      </c>
      <c r="W71" s="287">
        <f>'Initial unit rates'!W198</f>
        <v>-6.4228577562158815E-2</v>
      </c>
      <c r="X71" s="287">
        <f>'Initial unit rates'!X198</f>
        <v>-6.2833622619826751E-2</v>
      </c>
      <c r="Y71" s="287">
        <f>'Initial unit rates'!Y198</f>
        <v>-6.2833622619826751E-2</v>
      </c>
      <c r="Z71" s="272"/>
      <c r="AA71" s="272"/>
    </row>
    <row r="72" spans="3:27" x14ac:dyDescent="0.25">
      <c r="D72"/>
      <c r="F72" t="s">
        <v>196</v>
      </c>
      <c r="G72" t="s">
        <v>269</v>
      </c>
      <c r="H72" s="272"/>
      <c r="I72" s="272"/>
      <c r="J72" s="287">
        <f>'Initial unit rates'!J199</f>
        <v>0</v>
      </c>
      <c r="K72" s="287">
        <f>'Initial unit rates'!K199</f>
        <v>0</v>
      </c>
      <c r="L72" s="287">
        <f>'Initial unit rates'!L199</f>
        <v>0</v>
      </c>
      <c r="M72" s="287">
        <f>'Initial unit rates'!M199</f>
        <v>0</v>
      </c>
      <c r="N72" s="287">
        <f>'Initial unit rates'!N199</f>
        <v>0</v>
      </c>
      <c r="O72" s="287">
        <f>'Initial unit rates'!O199</f>
        <v>0</v>
      </c>
      <c r="P72" s="287">
        <f>'Initial unit rates'!P199</f>
        <v>0</v>
      </c>
      <c r="Q72" s="287">
        <f>'Initial unit rates'!Q199</f>
        <v>0</v>
      </c>
      <c r="R72" s="287">
        <f>'Initial unit rates'!R199</f>
        <v>0</v>
      </c>
      <c r="S72" s="287">
        <f>'Initial unit rates'!S199</f>
        <v>0</v>
      </c>
      <c r="T72" s="287">
        <f>'Initial unit rates'!T199</f>
        <v>0</v>
      </c>
      <c r="U72" s="287">
        <f>'Initial unit rates'!U199</f>
        <v>0</v>
      </c>
      <c r="V72" s="287">
        <f>'Initial unit rates'!V199</f>
        <v>0</v>
      </c>
      <c r="W72" s="287">
        <f>'Initial unit rates'!W199</f>
        <v>0</v>
      </c>
      <c r="X72" s="287">
        <f>'Initial unit rates'!X199</f>
        <v>0</v>
      </c>
      <c r="Y72" s="287">
        <f>'Initial unit rates'!Y199</f>
        <v>0</v>
      </c>
      <c r="Z72" s="272"/>
      <c r="AA72" s="272"/>
    </row>
    <row r="73" spans="3:27" x14ac:dyDescent="0.25">
      <c r="D73"/>
      <c r="F73" t="s">
        <v>197</v>
      </c>
      <c r="G73" t="s">
        <v>269</v>
      </c>
      <c r="H73" s="272"/>
      <c r="I73" s="272"/>
      <c r="J73" s="287">
        <f>'Initial unit rates'!J200</f>
        <v>0.38211190117763377</v>
      </c>
      <c r="K73" s="287">
        <f>'Initial unit rates'!K200</f>
        <v>0.38211190117763377</v>
      </c>
      <c r="L73" s="287">
        <f>'Initial unit rates'!L200</f>
        <v>0.39903734593514772</v>
      </c>
      <c r="M73" s="287">
        <f>'Initial unit rates'!M200</f>
        <v>0.39903734593514772</v>
      </c>
      <c r="N73" s="287">
        <f>'Initial unit rates'!N200</f>
        <v>0.35600127499219908</v>
      </c>
      <c r="O73" s="287">
        <f>'Initial unit rates'!O200</f>
        <v>0.29359410917650769</v>
      </c>
      <c r="P73" s="287">
        <f>'Initial unit rates'!P200</f>
        <v>0.29404651065561832</v>
      </c>
      <c r="Q73" s="287">
        <f>'Initial unit rates'!Q200</f>
        <v>0.36347420740380221</v>
      </c>
      <c r="R73" s="287">
        <f>'Initial unit rates'!R200</f>
        <v>-0.27392996883681409</v>
      </c>
      <c r="S73" s="287">
        <f>'Initial unit rates'!S200</f>
        <v>-0.26540881701572377</v>
      </c>
      <c r="T73" s="287">
        <f>'Initial unit rates'!T200</f>
        <v>-0.27392996883681409</v>
      </c>
      <c r="U73" s="287">
        <f>'Initial unit rates'!U200</f>
        <v>-0.27392996883681409</v>
      </c>
      <c r="V73" s="287">
        <f>'Initial unit rates'!V200</f>
        <v>-0.26540881701572377</v>
      </c>
      <c r="W73" s="287">
        <f>'Initial unit rates'!W200</f>
        <v>-0.26540881701572377</v>
      </c>
      <c r="X73" s="287">
        <f>'Initial unit rates'!X200</f>
        <v>0</v>
      </c>
      <c r="Y73" s="287">
        <f>'Initial unit rates'!Y200</f>
        <v>0</v>
      </c>
      <c r="Z73" s="272"/>
      <c r="AA73" s="272"/>
    </row>
    <row r="74" spans="3:27" x14ac:dyDescent="0.25">
      <c r="D74"/>
      <c r="F74" t="s">
        <v>198</v>
      </c>
      <c r="G74" t="s">
        <v>269</v>
      </c>
      <c r="H74" s="272"/>
      <c r="I74" s="272"/>
      <c r="J74" s="287">
        <f>'Initial unit rates'!J201</f>
        <v>9.2528995348145363E-2</v>
      </c>
      <c r="K74" s="287">
        <f>'Initial unit rates'!K201</f>
        <v>9.2528995348145363E-2</v>
      </c>
      <c r="L74" s="287">
        <f>'Initial unit rates'!L201</f>
        <v>9.6627518305443319E-2</v>
      </c>
      <c r="M74" s="287">
        <f>'Initial unit rates'!M201</f>
        <v>9.6627518305443319E-2</v>
      </c>
      <c r="N74" s="287">
        <f>'Initial unit rates'!N201</f>
        <v>8.6206266321900982E-2</v>
      </c>
      <c r="O74" s="287">
        <f>'Initial unit rates'!O201</f>
        <v>7.1094273375189171E-2</v>
      </c>
      <c r="P74" s="287">
        <f>'Initial unit rates'!P201</f>
        <v>0</v>
      </c>
      <c r="Q74" s="287">
        <f>'Initial unit rates'!Q201</f>
        <v>8.8015848609757516E-2</v>
      </c>
      <c r="R74" s="287">
        <f>'Initial unit rates'!R201</f>
        <v>-6.6332570993218723E-2</v>
      </c>
      <c r="S74" s="287">
        <f>'Initial unit rates'!S201</f>
        <v>0</v>
      </c>
      <c r="T74" s="287">
        <f>'Initial unit rates'!T201</f>
        <v>-6.6332570993218723E-2</v>
      </c>
      <c r="U74" s="287">
        <f>'Initial unit rates'!U201</f>
        <v>-6.6332570993218723E-2</v>
      </c>
      <c r="V74" s="287">
        <f>'Initial unit rates'!V201</f>
        <v>0</v>
      </c>
      <c r="W74" s="287">
        <f>'Initial unit rates'!W201</f>
        <v>0</v>
      </c>
      <c r="X74" s="287">
        <f>'Initial unit rates'!X201</f>
        <v>0</v>
      </c>
      <c r="Y74" s="287">
        <f>'Initial unit rates'!Y201</f>
        <v>0</v>
      </c>
      <c r="Z74" s="272"/>
      <c r="AA74" s="272"/>
    </row>
    <row r="75" spans="3:27" x14ac:dyDescent="0.25">
      <c r="D75"/>
      <c r="F75" t="s">
        <v>199</v>
      </c>
      <c r="G75" t="s">
        <v>269</v>
      </c>
      <c r="H75" s="272"/>
      <c r="I75" s="272"/>
      <c r="J75" s="287">
        <f>'Initial unit rates'!J202</f>
        <v>0.21964616037309012</v>
      </c>
      <c r="K75" s="287">
        <f>'Initial unit rates'!K202</f>
        <v>0.21964616037309012</v>
      </c>
      <c r="L75" s="287">
        <f>'Initial unit rates'!L202</f>
        <v>0.22937527098738256</v>
      </c>
      <c r="M75" s="287">
        <f>'Initial unit rates'!M202</f>
        <v>0.22937527098738256</v>
      </c>
      <c r="N75" s="287">
        <f>'Initial unit rates'!N202</f>
        <v>0.20463720941162375</v>
      </c>
      <c r="O75" s="287">
        <f>'Initial unit rates'!O202</f>
        <v>0</v>
      </c>
      <c r="P75" s="287">
        <f>'Initial unit rates'!P202</f>
        <v>0</v>
      </c>
      <c r="Q75" s="287">
        <f>'Initial unit rates'!Q202</f>
        <v>0.20893281210255693</v>
      </c>
      <c r="R75" s="287">
        <f>'Initial unit rates'!R202</f>
        <v>0</v>
      </c>
      <c r="S75" s="287">
        <f>'Initial unit rates'!S202</f>
        <v>0</v>
      </c>
      <c r="T75" s="287">
        <f>'Initial unit rates'!T202</f>
        <v>0</v>
      </c>
      <c r="U75" s="287">
        <f>'Initial unit rates'!U202</f>
        <v>0</v>
      </c>
      <c r="V75" s="287">
        <f>'Initial unit rates'!V202</f>
        <v>0</v>
      </c>
      <c r="W75" s="287">
        <f>'Initial unit rates'!W202</f>
        <v>0</v>
      </c>
      <c r="X75" s="287">
        <f>'Initial unit rates'!X202</f>
        <v>0</v>
      </c>
      <c r="Y75" s="287">
        <f>'Initial unit rates'!Y202</f>
        <v>0</v>
      </c>
      <c r="Z75" s="272"/>
      <c r="AA75" s="272"/>
    </row>
    <row r="76" spans="3:27" x14ac:dyDescent="0.25">
      <c r="D76"/>
      <c r="F76" s="23" t="s">
        <v>376</v>
      </c>
      <c r="G76" s="23" t="s">
        <v>269</v>
      </c>
      <c r="H76" s="270"/>
      <c r="I76" s="270" t="s">
        <v>154</v>
      </c>
      <c r="J76" s="288"/>
      <c r="K76" s="288"/>
      <c r="L76" s="288"/>
      <c r="M76" s="288"/>
      <c r="N76" s="288"/>
      <c r="O76" s="288"/>
      <c r="P76" s="288"/>
      <c r="Q76" s="286">
        <f>'Service model charges'!$Q$44</f>
        <v>2.1262931523237087</v>
      </c>
      <c r="R76" s="288"/>
      <c r="S76" s="288"/>
      <c r="T76" s="288"/>
      <c r="U76" s="288"/>
      <c r="V76" s="288"/>
      <c r="W76" s="288"/>
      <c r="X76" s="288"/>
      <c r="Y76" s="288"/>
      <c r="Z76" s="272"/>
      <c r="AA76" s="272" t="s">
        <v>654</v>
      </c>
    </row>
    <row r="77" spans="3:27" x14ac:dyDescent="0.25">
      <c r="D77"/>
      <c r="F77" s="37" t="s">
        <v>377</v>
      </c>
      <c r="G77" s="37" t="s">
        <v>269</v>
      </c>
      <c r="H77" s="276"/>
      <c r="I77" s="276"/>
      <c r="J77" s="277"/>
      <c r="K77" s="277"/>
      <c r="L77" s="277"/>
      <c r="M77" s="277"/>
      <c r="N77" s="277"/>
      <c r="O77" s="277"/>
      <c r="P77" s="277"/>
      <c r="Q77" s="277"/>
      <c r="R77" s="277"/>
      <c r="S77" s="277"/>
      <c r="T77" s="277"/>
      <c r="U77" s="277"/>
      <c r="V77" s="277"/>
      <c r="W77" s="277"/>
      <c r="X77" s="277"/>
      <c r="Y77" s="277"/>
      <c r="Z77" s="272"/>
      <c r="AA77" s="272"/>
    </row>
    <row r="78" spans="3:27" x14ac:dyDescent="0.25">
      <c r="J78" s="89"/>
      <c r="K78" s="89"/>
      <c r="L78" s="89"/>
      <c r="M78" s="89"/>
      <c r="N78" s="89"/>
      <c r="O78" s="89"/>
      <c r="P78" s="89"/>
      <c r="Q78" s="89"/>
      <c r="R78" s="89"/>
      <c r="S78" s="89"/>
      <c r="T78" s="89"/>
      <c r="U78" s="89"/>
      <c r="V78" s="89"/>
      <c r="W78" s="89"/>
      <c r="X78" s="89"/>
      <c r="Y78" s="89"/>
    </row>
    <row r="79" spans="3:27" x14ac:dyDescent="0.25">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25">
      <c r="D80" s="32"/>
      <c r="E80" s="32"/>
      <c r="J80" s="89"/>
      <c r="K80" s="89"/>
      <c r="L80" s="89"/>
      <c r="M80" s="89"/>
      <c r="N80" s="89"/>
      <c r="O80" s="89"/>
      <c r="P80" s="89"/>
      <c r="Q80" s="89"/>
      <c r="R80" s="89"/>
      <c r="S80" s="89"/>
      <c r="T80" s="89"/>
      <c r="U80" s="89"/>
      <c r="V80" s="89"/>
      <c r="W80" s="89"/>
      <c r="X80" s="89"/>
      <c r="Y80" s="89"/>
    </row>
    <row r="81" spans="4:27" x14ac:dyDescent="0.25">
      <c r="D81"/>
      <c r="E81" s="32" t="s">
        <v>621</v>
      </c>
      <c r="J81" s="89"/>
      <c r="K81" s="89"/>
      <c r="L81" s="89"/>
      <c r="M81" s="89"/>
      <c r="N81" s="89"/>
      <c r="O81" s="89"/>
      <c r="P81" s="89"/>
      <c r="Q81" s="89"/>
      <c r="R81" s="89"/>
      <c r="S81" s="89"/>
      <c r="T81" s="89"/>
      <c r="U81" s="89"/>
      <c r="V81" s="89"/>
      <c r="W81" s="89"/>
      <c r="X81" s="89"/>
      <c r="Y81" s="89"/>
    </row>
    <row r="82" spans="4:27" x14ac:dyDescent="0.25">
      <c r="D82"/>
      <c r="F82" s="23" t="s">
        <v>189</v>
      </c>
      <c r="G82" s="23" t="s">
        <v>269</v>
      </c>
      <c r="H82" s="270"/>
      <c r="I82" s="270"/>
      <c r="J82" s="286">
        <f>'Initial unit rates'!J210</f>
        <v>0</v>
      </c>
      <c r="K82" s="286">
        <f>'Initial unit rates'!K210</f>
        <v>0</v>
      </c>
      <c r="L82" s="286">
        <f>'Initial unit rates'!L210</f>
        <v>0</v>
      </c>
      <c r="M82" s="286">
        <f>'Initial unit rates'!M210</f>
        <v>0</v>
      </c>
      <c r="N82" s="286">
        <f>'Initial unit rates'!N210</f>
        <v>0</v>
      </c>
      <c r="O82" s="286">
        <f>'Initial unit rates'!O210</f>
        <v>0</v>
      </c>
      <c r="P82" s="286">
        <f>'Initial unit rates'!P210</f>
        <v>0</v>
      </c>
      <c r="Q82" s="286">
        <f>'Initial unit rates'!Q210</f>
        <v>0</v>
      </c>
      <c r="R82" s="286">
        <f>'Initial unit rates'!R210</f>
        <v>0</v>
      </c>
      <c r="S82" s="286">
        <f>'Initial unit rates'!S210</f>
        <v>0</v>
      </c>
      <c r="T82" s="286">
        <f>'Initial unit rates'!T210</f>
        <v>0</v>
      </c>
      <c r="U82" s="286">
        <f>'Initial unit rates'!U210</f>
        <v>0</v>
      </c>
      <c r="V82" s="286">
        <f>'Initial unit rates'!V210</f>
        <v>0</v>
      </c>
      <c r="W82" s="286">
        <f>'Initial unit rates'!W210</f>
        <v>0</v>
      </c>
      <c r="X82" s="286">
        <f>'Initial unit rates'!X210</f>
        <v>0</v>
      </c>
      <c r="Y82" s="286">
        <f>'Initial unit rates'!Y210</f>
        <v>0</v>
      </c>
      <c r="Z82" s="272"/>
      <c r="AA82" s="272"/>
    </row>
    <row r="83" spans="4:27" x14ac:dyDescent="0.25">
      <c r="D83"/>
      <c r="F83" t="s">
        <v>191</v>
      </c>
      <c r="G83" t="s">
        <v>269</v>
      </c>
      <c r="H83" s="272"/>
      <c r="I83" s="272"/>
      <c r="J83" s="287">
        <f>'Initial unit rates'!J211</f>
        <v>0</v>
      </c>
      <c r="K83" s="287">
        <f>'Initial unit rates'!K211</f>
        <v>0</v>
      </c>
      <c r="L83" s="287">
        <f>'Initial unit rates'!L211</f>
        <v>0</v>
      </c>
      <c r="M83" s="287">
        <f>'Initial unit rates'!M211</f>
        <v>0</v>
      </c>
      <c r="N83" s="287">
        <f>'Initial unit rates'!N211</f>
        <v>0</v>
      </c>
      <c r="O83" s="287">
        <f>'Initial unit rates'!O211</f>
        <v>0</v>
      </c>
      <c r="P83" s="287">
        <f>'Initial unit rates'!P211</f>
        <v>0</v>
      </c>
      <c r="Q83" s="287">
        <f>'Initial unit rates'!Q211</f>
        <v>0</v>
      </c>
      <c r="R83" s="287">
        <f>'Initial unit rates'!R211</f>
        <v>0</v>
      </c>
      <c r="S83" s="287">
        <f>'Initial unit rates'!S211</f>
        <v>0</v>
      </c>
      <c r="T83" s="287">
        <f>'Initial unit rates'!T211</f>
        <v>0</v>
      </c>
      <c r="U83" s="287">
        <f>'Initial unit rates'!U211</f>
        <v>0</v>
      </c>
      <c r="V83" s="287">
        <f>'Initial unit rates'!V211</f>
        <v>0</v>
      </c>
      <c r="W83" s="287">
        <f>'Initial unit rates'!W211</f>
        <v>0</v>
      </c>
      <c r="X83" s="287">
        <f>'Initial unit rates'!X211</f>
        <v>0</v>
      </c>
      <c r="Y83" s="287">
        <f>'Initial unit rates'!Y211</f>
        <v>0</v>
      </c>
      <c r="Z83" s="272"/>
      <c r="AA83" s="272"/>
    </row>
    <row r="84" spans="4:27" x14ac:dyDescent="0.25">
      <c r="D84"/>
      <c r="F84" t="s">
        <v>192</v>
      </c>
      <c r="G84" t="s">
        <v>269</v>
      </c>
      <c r="H84" s="272"/>
      <c r="I84" s="272"/>
      <c r="J84" s="287">
        <f>'Initial unit rates'!J212</f>
        <v>0</v>
      </c>
      <c r="K84" s="287">
        <f>'Initial unit rates'!K212</f>
        <v>0</v>
      </c>
      <c r="L84" s="287">
        <f>'Initial unit rates'!L212</f>
        <v>0</v>
      </c>
      <c r="M84" s="287">
        <f>'Initial unit rates'!M212</f>
        <v>0</v>
      </c>
      <c r="N84" s="287">
        <f>'Initial unit rates'!N212</f>
        <v>0</v>
      </c>
      <c r="O84" s="287">
        <f>'Initial unit rates'!O212</f>
        <v>0</v>
      </c>
      <c r="P84" s="287">
        <f>'Initial unit rates'!P212</f>
        <v>0</v>
      </c>
      <c r="Q84" s="287">
        <f>'Initial unit rates'!Q212</f>
        <v>0</v>
      </c>
      <c r="R84" s="287">
        <f>'Initial unit rates'!R212</f>
        <v>0</v>
      </c>
      <c r="S84" s="287">
        <f>'Initial unit rates'!S212</f>
        <v>0</v>
      </c>
      <c r="T84" s="287">
        <f>'Initial unit rates'!T212</f>
        <v>0</v>
      </c>
      <c r="U84" s="287">
        <f>'Initial unit rates'!U212</f>
        <v>0</v>
      </c>
      <c r="V84" s="287">
        <f>'Initial unit rates'!V212</f>
        <v>0</v>
      </c>
      <c r="W84" s="287">
        <f>'Initial unit rates'!W212</f>
        <v>0</v>
      </c>
      <c r="X84" s="287">
        <f>'Initial unit rates'!X212</f>
        <v>0</v>
      </c>
      <c r="Y84" s="287">
        <f>'Initial unit rates'!Y212</f>
        <v>0</v>
      </c>
      <c r="Z84" s="272"/>
      <c r="AA84" s="272"/>
    </row>
    <row r="85" spans="4:27" x14ac:dyDescent="0.25">
      <c r="D85"/>
      <c r="F85" t="s">
        <v>193</v>
      </c>
      <c r="G85" t="s">
        <v>269</v>
      </c>
      <c r="H85" s="272"/>
      <c r="I85" s="272"/>
      <c r="J85" s="287">
        <f>'Initial unit rates'!J213</f>
        <v>0</v>
      </c>
      <c r="K85" s="287">
        <f>'Initial unit rates'!K213</f>
        <v>0</v>
      </c>
      <c r="L85" s="287">
        <f>'Initial unit rates'!L213</f>
        <v>0</v>
      </c>
      <c r="M85" s="287">
        <f>'Initial unit rates'!M213</f>
        <v>0</v>
      </c>
      <c r="N85" s="287">
        <f>'Initial unit rates'!N213</f>
        <v>0</v>
      </c>
      <c r="O85" s="287">
        <f>'Initial unit rates'!O213</f>
        <v>0</v>
      </c>
      <c r="P85" s="287">
        <f>'Initial unit rates'!P213</f>
        <v>0</v>
      </c>
      <c r="Q85" s="287">
        <f>'Initial unit rates'!Q213</f>
        <v>0</v>
      </c>
      <c r="R85" s="287">
        <f>'Initial unit rates'!R213</f>
        <v>0</v>
      </c>
      <c r="S85" s="287">
        <f>'Initial unit rates'!S213</f>
        <v>0</v>
      </c>
      <c r="T85" s="287">
        <f>'Initial unit rates'!T213</f>
        <v>0</v>
      </c>
      <c r="U85" s="287">
        <f>'Initial unit rates'!U213</f>
        <v>0</v>
      </c>
      <c r="V85" s="287">
        <f>'Initial unit rates'!V213</f>
        <v>0</v>
      </c>
      <c r="W85" s="287">
        <f>'Initial unit rates'!W213</f>
        <v>0</v>
      </c>
      <c r="X85" s="287">
        <f>'Initial unit rates'!X213</f>
        <v>0</v>
      </c>
      <c r="Y85" s="287">
        <f>'Initial unit rates'!Y213</f>
        <v>0</v>
      </c>
      <c r="Z85" s="272"/>
      <c r="AA85" s="272"/>
    </row>
    <row r="86" spans="4:27" x14ac:dyDescent="0.25">
      <c r="D86"/>
      <c r="F86" t="s">
        <v>194</v>
      </c>
      <c r="G86" t="s">
        <v>269</v>
      </c>
      <c r="H86" s="272"/>
      <c r="I86" s="272"/>
      <c r="J86" s="287">
        <f>'Initial unit rates'!J214</f>
        <v>5.6782015264948832E-2</v>
      </c>
      <c r="K86" s="287">
        <f>'Initial unit rates'!K214</f>
        <v>5.6782015264948832E-2</v>
      </c>
      <c r="L86" s="287">
        <f>'Initial unit rates'!L214</f>
        <v>5.9297144627905869E-2</v>
      </c>
      <c r="M86" s="287">
        <f>'Initial unit rates'!M214</f>
        <v>5.9297144627905869E-2</v>
      </c>
      <c r="N86" s="287">
        <f>'Initial unit rates'!N214</f>
        <v>5.2901963452719351E-2</v>
      </c>
      <c r="O86" s="287">
        <f>'Initial unit rates'!O214</f>
        <v>4.3628228112187639E-2</v>
      </c>
      <c r="P86" s="287">
        <f>'Initial unit rates'!P214</f>
        <v>4.3463951225617942E-2</v>
      </c>
      <c r="Q86" s="287">
        <f>'Initial unit rates'!Q214</f>
        <v>4.4967827834305259E-2</v>
      </c>
      <c r="R86" s="287">
        <f>'Initial unit rates'!R214</f>
        <v>-4.0706127247233131E-2</v>
      </c>
      <c r="S86" s="287">
        <f>'Initial unit rates'!S214</f>
        <v>-3.9439879922067593E-2</v>
      </c>
      <c r="T86" s="287">
        <f>'Initial unit rates'!T214</f>
        <v>-4.0706127247233131E-2</v>
      </c>
      <c r="U86" s="287">
        <f>'Initial unit rates'!U214</f>
        <v>-4.0706127247233131E-2</v>
      </c>
      <c r="V86" s="287">
        <f>'Initial unit rates'!V214</f>
        <v>-3.9439879922067593E-2</v>
      </c>
      <c r="W86" s="287">
        <f>'Initial unit rates'!W214</f>
        <v>-3.9439879922067593E-2</v>
      </c>
      <c r="X86" s="287">
        <f>'Initial unit rates'!X214</f>
        <v>-3.8378881712545818E-2</v>
      </c>
      <c r="Y86" s="287">
        <f>'Initial unit rates'!Y214</f>
        <v>-3.8378881712545818E-2</v>
      </c>
      <c r="Z86" s="272"/>
      <c r="AA86" s="272"/>
    </row>
    <row r="87" spans="4:27" x14ac:dyDescent="0.25">
      <c r="D87"/>
      <c r="F87" t="s">
        <v>195</v>
      </c>
      <c r="G87" t="s">
        <v>269</v>
      </c>
      <c r="H87" s="272"/>
      <c r="I87" s="272"/>
      <c r="J87" s="287">
        <f>'Initial unit rates'!J215</f>
        <v>5.149364586563368E-2</v>
      </c>
      <c r="K87" s="287">
        <f>'Initial unit rates'!K215</f>
        <v>5.149364586563368E-2</v>
      </c>
      <c r="L87" s="287">
        <f>'Initial unit rates'!L215</f>
        <v>5.3774529700383975E-2</v>
      </c>
      <c r="M87" s="287">
        <f>'Initial unit rates'!M215</f>
        <v>5.3774529700383975E-2</v>
      </c>
      <c r="N87" s="287">
        <f>'Initial unit rates'!N215</f>
        <v>4.7974961066811664E-2</v>
      </c>
      <c r="O87" s="287">
        <f>'Initial unit rates'!O215</f>
        <v>3.9564931214071786E-2</v>
      </c>
      <c r="P87" s="287">
        <f>'Initial unit rates'!P215</f>
        <v>3.949040559444298E-2</v>
      </c>
      <c r="Q87" s="287">
        <f>'Initial unit rates'!Q215</f>
        <v>4.0779767872660876E-2</v>
      </c>
      <c r="R87" s="287">
        <f>'Initial unit rates'!R215</f>
        <v>-3.6914978999069759E-2</v>
      </c>
      <c r="S87" s="287">
        <f>'Initial unit rates'!S215</f>
        <v>-3.5766663092419833E-2</v>
      </c>
      <c r="T87" s="287">
        <f>'Initial unit rates'!T215</f>
        <v>-3.6914978999069759E-2</v>
      </c>
      <c r="U87" s="287">
        <f>'Initial unit rates'!U215</f>
        <v>-3.6914978999069759E-2</v>
      </c>
      <c r="V87" s="287">
        <f>'Initial unit rates'!V215</f>
        <v>-3.5766663092419833E-2</v>
      </c>
      <c r="W87" s="287">
        <f>'Initial unit rates'!W215</f>
        <v>-3.5766663092419833E-2</v>
      </c>
      <c r="X87" s="287">
        <f>'Initial unit rates'!X215</f>
        <v>-3.4870221467492392E-2</v>
      </c>
      <c r="Y87" s="287">
        <f>'Initial unit rates'!Y215</f>
        <v>-3.4870221467492392E-2</v>
      </c>
      <c r="Z87" s="272"/>
      <c r="AA87" s="272"/>
    </row>
    <row r="88" spans="4:27" x14ac:dyDescent="0.25">
      <c r="D88"/>
      <c r="F88" t="s">
        <v>196</v>
      </c>
      <c r="G88" t="s">
        <v>269</v>
      </c>
      <c r="H88" s="272"/>
      <c r="I88" s="272"/>
      <c r="J88" s="287">
        <f>'Initial unit rates'!J216</f>
        <v>0</v>
      </c>
      <c r="K88" s="287">
        <f>'Initial unit rates'!K216</f>
        <v>0</v>
      </c>
      <c r="L88" s="287">
        <f>'Initial unit rates'!L216</f>
        <v>0</v>
      </c>
      <c r="M88" s="287">
        <f>'Initial unit rates'!M216</f>
        <v>0</v>
      </c>
      <c r="N88" s="287">
        <f>'Initial unit rates'!N216</f>
        <v>0</v>
      </c>
      <c r="O88" s="287">
        <f>'Initial unit rates'!O216</f>
        <v>0</v>
      </c>
      <c r="P88" s="287">
        <f>'Initial unit rates'!P216</f>
        <v>0</v>
      </c>
      <c r="Q88" s="287">
        <f>'Initial unit rates'!Q216</f>
        <v>0</v>
      </c>
      <c r="R88" s="287">
        <f>'Initial unit rates'!R216</f>
        <v>0</v>
      </c>
      <c r="S88" s="287">
        <f>'Initial unit rates'!S216</f>
        <v>0</v>
      </c>
      <c r="T88" s="287">
        <f>'Initial unit rates'!T216</f>
        <v>0</v>
      </c>
      <c r="U88" s="287">
        <f>'Initial unit rates'!U216</f>
        <v>0</v>
      </c>
      <c r="V88" s="287">
        <f>'Initial unit rates'!V216</f>
        <v>0</v>
      </c>
      <c r="W88" s="287">
        <f>'Initial unit rates'!W216</f>
        <v>0</v>
      </c>
      <c r="X88" s="287">
        <f>'Initial unit rates'!X216</f>
        <v>0</v>
      </c>
      <c r="Y88" s="287">
        <f>'Initial unit rates'!Y216</f>
        <v>0</v>
      </c>
      <c r="Z88" s="272"/>
      <c r="AA88" s="272"/>
    </row>
    <row r="89" spans="4:27" x14ac:dyDescent="0.25">
      <c r="D89"/>
      <c r="F89" t="s">
        <v>197</v>
      </c>
      <c r="G89" t="s">
        <v>269</v>
      </c>
      <c r="H89" s="272"/>
      <c r="I89" s="272"/>
      <c r="J89" s="287">
        <f>'Initial unit rates'!J217</f>
        <v>0.12281478110852553</v>
      </c>
      <c r="K89" s="287">
        <f>'Initial unit rates'!K217</f>
        <v>0.12281478110852553</v>
      </c>
      <c r="L89" s="287">
        <f>'Initial unit rates'!L217</f>
        <v>0.12825479694329062</v>
      </c>
      <c r="M89" s="287">
        <f>'Initial unit rates'!M217</f>
        <v>0.12825479694329062</v>
      </c>
      <c r="N89" s="287">
        <f>'Initial unit rates'!N217</f>
        <v>0.11442255142479224</v>
      </c>
      <c r="O89" s="287">
        <f>'Initial unit rates'!O217</f>
        <v>9.4364232420238253E-2</v>
      </c>
      <c r="P89" s="287">
        <f>'Initial unit rates'!P217</f>
        <v>0.10047099112223851</v>
      </c>
      <c r="Q89" s="287">
        <f>'Initial unit rates'!Q217</f>
        <v>9.7261675314387758E-2</v>
      </c>
      <c r="R89" s="287">
        <f>'Initial unit rates'!R217</f>
        <v>-8.8043971041140021E-2</v>
      </c>
      <c r="S89" s="287">
        <f>'Initial unit rates'!S217</f>
        <v>-8.5305183286886813E-2</v>
      </c>
      <c r="T89" s="287">
        <f>'Initial unit rates'!T217</f>
        <v>-8.8043971041140021E-2</v>
      </c>
      <c r="U89" s="287">
        <f>'Initial unit rates'!U217</f>
        <v>-8.8043971041140021E-2</v>
      </c>
      <c r="V89" s="287">
        <f>'Initial unit rates'!V217</f>
        <v>-8.5305183286886813E-2</v>
      </c>
      <c r="W89" s="287">
        <f>'Initial unit rates'!W217</f>
        <v>-8.5305183286886813E-2</v>
      </c>
      <c r="X89" s="287">
        <f>'Initial unit rates'!X217</f>
        <v>0</v>
      </c>
      <c r="Y89" s="287">
        <f>'Initial unit rates'!Y217</f>
        <v>0</v>
      </c>
      <c r="Z89" s="272"/>
      <c r="AA89" s="272"/>
    </row>
    <row r="90" spans="4:27" x14ac:dyDescent="0.25">
      <c r="D90"/>
      <c r="F90" t="s">
        <v>198</v>
      </c>
      <c r="G90" t="s">
        <v>269</v>
      </c>
      <c r="H90" s="272"/>
      <c r="I90" s="272"/>
      <c r="J90" s="287">
        <f>'Initial unit rates'!J218</f>
        <v>1.1248155587330813E-2</v>
      </c>
      <c r="K90" s="287">
        <f>'Initial unit rates'!K218</f>
        <v>1.1248155587330813E-2</v>
      </c>
      <c r="L90" s="287">
        <f>'Initial unit rates'!L218</f>
        <v>1.174638669562803E-2</v>
      </c>
      <c r="M90" s="287">
        <f>'Initial unit rates'!M218</f>
        <v>1.174638669562803E-2</v>
      </c>
      <c r="N90" s="287">
        <f>'Initial unit rates'!N218</f>
        <v>1.0479542034831509E-2</v>
      </c>
      <c r="O90" s="287">
        <f>'Initial unit rates'!O218</f>
        <v>8.6424741269860422E-3</v>
      </c>
      <c r="P90" s="287">
        <f>'Initial unit rates'!P218</f>
        <v>0</v>
      </c>
      <c r="Q90" s="287">
        <f>'Initial unit rates'!Q218</f>
        <v>8.907840300215639E-3</v>
      </c>
      <c r="R90" s="287">
        <f>'Initial unit rates'!R218</f>
        <v>-8.0636245560872857E-3</v>
      </c>
      <c r="S90" s="287">
        <f>'Initial unit rates'!S218</f>
        <v>0</v>
      </c>
      <c r="T90" s="287">
        <f>'Initial unit rates'!T218</f>
        <v>-8.0636245560872857E-3</v>
      </c>
      <c r="U90" s="287">
        <f>'Initial unit rates'!U218</f>
        <v>-8.0636245560872857E-3</v>
      </c>
      <c r="V90" s="287">
        <f>'Initial unit rates'!V218</f>
        <v>0</v>
      </c>
      <c r="W90" s="287">
        <f>'Initial unit rates'!W218</f>
        <v>0</v>
      </c>
      <c r="X90" s="287">
        <f>'Initial unit rates'!X218</f>
        <v>0</v>
      </c>
      <c r="Y90" s="287">
        <f>'Initial unit rates'!Y218</f>
        <v>0</v>
      </c>
      <c r="Z90" s="272"/>
      <c r="AA90" s="272"/>
    </row>
    <row r="91" spans="4:27" x14ac:dyDescent="0.25">
      <c r="D91"/>
      <c r="F91" t="s">
        <v>199</v>
      </c>
      <c r="G91" t="s">
        <v>269</v>
      </c>
      <c r="H91" s="272"/>
      <c r="I91" s="272"/>
      <c r="J91" s="287">
        <f>'Initial unit rates'!J219</f>
        <v>4.0848653744670798E-3</v>
      </c>
      <c r="K91" s="287">
        <f>'Initial unit rates'!K219</f>
        <v>4.0848653744670798E-3</v>
      </c>
      <c r="L91" s="287">
        <f>'Initial unit rates'!L219</f>
        <v>4.2658023278159454E-3</v>
      </c>
      <c r="M91" s="287">
        <f>'Initial unit rates'!M219</f>
        <v>4.2658023278159454E-3</v>
      </c>
      <c r="N91" s="287">
        <f>'Initial unit rates'!N219</f>
        <v>3.8057366886506353E-3</v>
      </c>
      <c r="O91" s="287">
        <f>'Initial unit rates'!O219</f>
        <v>0</v>
      </c>
      <c r="P91" s="287">
        <f>'Initial unit rates'!P219</f>
        <v>0</v>
      </c>
      <c r="Q91" s="287">
        <f>'Initial unit rates'!Q219</f>
        <v>3.2349595559131136E-3</v>
      </c>
      <c r="R91" s="287">
        <f>'Initial unit rates'!R219</f>
        <v>0</v>
      </c>
      <c r="S91" s="287">
        <f>'Initial unit rates'!S219</f>
        <v>0</v>
      </c>
      <c r="T91" s="287">
        <f>'Initial unit rates'!T219</f>
        <v>0</v>
      </c>
      <c r="U91" s="287">
        <f>'Initial unit rates'!U219</f>
        <v>0</v>
      </c>
      <c r="V91" s="287">
        <f>'Initial unit rates'!V219</f>
        <v>0</v>
      </c>
      <c r="W91" s="287">
        <f>'Initial unit rates'!W219</f>
        <v>0</v>
      </c>
      <c r="X91" s="287">
        <f>'Initial unit rates'!X219</f>
        <v>0</v>
      </c>
      <c r="Y91" s="287">
        <f>'Initial unit rates'!Y219</f>
        <v>0</v>
      </c>
      <c r="Z91" s="272"/>
      <c r="AA91" s="272"/>
    </row>
    <row r="92" spans="4:27" x14ac:dyDescent="0.25">
      <c r="D92"/>
      <c r="F92" s="23" t="s">
        <v>376</v>
      </c>
      <c r="G92" s="23" t="s">
        <v>269</v>
      </c>
      <c r="H92" s="270"/>
      <c r="I92" s="270"/>
      <c r="J92" s="288"/>
      <c r="K92" s="288"/>
      <c r="L92" s="288"/>
      <c r="M92" s="288"/>
      <c r="N92" s="288"/>
      <c r="O92" s="288"/>
      <c r="P92" s="288"/>
      <c r="Q92" s="288"/>
      <c r="R92" s="288"/>
      <c r="S92" s="288"/>
      <c r="T92" s="288"/>
      <c r="U92" s="288"/>
      <c r="V92" s="288"/>
      <c r="W92" s="288"/>
      <c r="X92" s="288"/>
      <c r="Y92" s="288"/>
      <c r="Z92" s="272"/>
      <c r="AA92" s="272"/>
    </row>
    <row r="93" spans="4:27" x14ac:dyDescent="0.25">
      <c r="D93"/>
      <c r="F93" s="37" t="s">
        <v>377</v>
      </c>
      <c r="G93" s="37" t="s">
        <v>269</v>
      </c>
      <c r="H93" s="276"/>
      <c r="I93" s="276"/>
      <c r="J93" s="277"/>
      <c r="K93" s="277"/>
      <c r="L93" s="277"/>
      <c r="M93" s="277"/>
      <c r="N93" s="277"/>
      <c r="O93" s="277"/>
      <c r="P93" s="277"/>
      <c r="Q93" s="277"/>
      <c r="R93" s="277"/>
      <c r="S93" s="277"/>
      <c r="T93" s="277"/>
      <c r="U93" s="277"/>
      <c r="V93" s="277"/>
      <c r="W93" s="277"/>
      <c r="X93" s="277"/>
      <c r="Y93" s="277"/>
      <c r="Z93" s="272"/>
      <c r="AA93" s="272"/>
    </row>
    <row r="94" spans="4:27" x14ac:dyDescent="0.25">
      <c r="D94"/>
      <c r="J94" s="89"/>
      <c r="K94" s="89"/>
      <c r="L94" s="89"/>
      <c r="M94" s="89"/>
      <c r="N94" s="89"/>
      <c r="O94" s="89"/>
      <c r="P94" s="89"/>
      <c r="Q94" s="89"/>
      <c r="R94" s="89"/>
      <c r="S94" s="89"/>
      <c r="T94" s="89"/>
      <c r="U94" s="89"/>
      <c r="V94" s="89"/>
      <c r="W94" s="89"/>
      <c r="X94" s="89"/>
      <c r="Y94" s="89"/>
    </row>
    <row r="95" spans="4:27" x14ac:dyDescent="0.25">
      <c r="D95"/>
      <c r="E95" s="32" t="s">
        <v>622</v>
      </c>
      <c r="J95" s="89"/>
      <c r="K95" s="89"/>
      <c r="L95" s="89"/>
      <c r="M95" s="89"/>
      <c r="N95" s="89"/>
      <c r="O95" s="89"/>
      <c r="P95" s="89"/>
      <c r="Q95" s="89"/>
      <c r="R95" s="89"/>
      <c r="S95" s="89"/>
      <c r="T95" s="89"/>
      <c r="U95" s="89"/>
      <c r="V95" s="89"/>
      <c r="W95" s="89"/>
      <c r="X95" s="89"/>
      <c r="Y95" s="89"/>
    </row>
    <row r="96" spans="4:27" x14ac:dyDescent="0.25">
      <c r="D96"/>
      <c r="F96" s="23" t="s">
        <v>189</v>
      </c>
      <c r="G96" s="23" t="s">
        <v>269</v>
      </c>
      <c r="H96" s="270"/>
      <c r="I96" s="270"/>
      <c r="J96" s="286">
        <f>'Initial unit rates'!J222</f>
        <v>0.14125159041628743</v>
      </c>
      <c r="K96" s="286">
        <f>'Initial unit rates'!K222</f>
        <v>0.14125159041628743</v>
      </c>
      <c r="L96" s="286">
        <f>'Initial unit rates'!L222</f>
        <v>0.14750825497746389</v>
      </c>
      <c r="M96" s="286">
        <f>'Initial unit rates'!M222</f>
        <v>0.14750825497746389</v>
      </c>
      <c r="N96" s="286">
        <f>'Initial unit rates'!N222</f>
        <v>0.13159952916383438</v>
      </c>
      <c r="O96" s="286">
        <f>'Initial unit rates'!O222</f>
        <v>0.10853007909522355</v>
      </c>
      <c r="P96" s="286">
        <f>'Initial unit rates'!P222</f>
        <v>0.10869731395033828</v>
      </c>
      <c r="Q96" s="286">
        <f>'Initial unit rates'!Q222</f>
        <v>0.11186248268089082</v>
      </c>
      <c r="R96" s="286">
        <f>'Initial unit rates'!R222</f>
        <v>-0.10126102757238296</v>
      </c>
      <c r="S96" s="286">
        <f>'Initial unit rates'!S222</f>
        <v>-9.8111096248081911E-2</v>
      </c>
      <c r="T96" s="286">
        <f>'Initial unit rates'!T222</f>
        <v>-0.10126102757238296</v>
      </c>
      <c r="U96" s="286">
        <f>'Initial unit rates'!U222</f>
        <v>-0.10126102757238296</v>
      </c>
      <c r="V96" s="286">
        <f>'Initial unit rates'!V222</f>
        <v>-9.8111096248081911E-2</v>
      </c>
      <c r="W96" s="286">
        <f>'Initial unit rates'!W222</f>
        <v>-9.8111096248081911E-2</v>
      </c>
      <c r="X96" s="286">
        <f>'Initial unit rates'!X222</f>
        <v>-9.5980260352231242E-2</v>
      </c>
      <c r="Y96" s="286">
        <f>'Initial unit rates'!Y222</f>
        <v>-9.5980260352231242E-2</v>
      </c>
      <c r="Z96" s="272"/>
      <c r="AA96" s="272"/>
    </row>
    <row r="97" spans="3:42" x14ac:dyDescent="0.25">
      <c r="D97"/>
      <c r="F97" t="s">
        <v>191</v>
      </c>
      <c r="G97" t="s">
        <v>269</v>
      </c>
      <c r="H97" s="272"/>
      <c r="I97" s="272"/>
      <c r="J97" s="287">
        <f>'Initial unit rates'!J223</f>
        <v>0</v>
      </c>
      <c r="K97" s="287">
        <f>'Initial unit rates'!K223</f>
        <v>0</v>
      </c>
      <c r="L97" s="287">
        <f>'Initial unit rates'!L223</f>
        <v>0</v>
      </c>
      <c r="M97" s="287">
        <f>'Initial unit rates'!M223</f>
        <v>0</v>
      </c>
      <c r="N97" s="287">
        <f>'Initial unit rates'!N223</f>
        <v>0</v>
      </c>
      <c r="O97" s="287">
        <f>'Initial unit rates'!O223</f>
        <v>0</v>
      </c>
      <c r="P97" s="287">
        <f>'Initial unit rates'!P223</f>
        <v>0</v>
      </c>
      <c r="Q97" s="287">
        <f>'Initial unit rates'!Q223</f>
        <v>0</v>
      </c>
      <c r="R97" s="287">
        <f>'Initial unit rates'!R223</f>
        <v>0</v>
      </c>
      <c r="S97" s="287">
        <f>'Initial unit rates'!S223</f>
        <v>0</v>
      </c>
      <c r="T97" s="287">
        <f>'Initial unit rates'!T223</f>
        <v>0</v>
      </c>
      <c r="U97" s="287">
        <f>'Initial unit rates'!U223</f>
        <v>0</v>
      </c>
      <c r="V97" s="287">
        <f>'Initial unit rates'!V223</f>
        <v>0</v>
      </c>
      <c r="W97" s="287">
        <f>'Initial unit rates'!W223</f>
        <v>0</v>
      </c>
      <c r="X97" s="287">
        <f>'Initial unit rates'!X223</f>
        <v>0</v>
      </c>
      <c r="Y97" s="287">
        <f>'Initial unit rates'!Y223</f>
        <v>0</v>
      </c>
      <c r="Z97" s="272"/>
      <c r="AA97" s="272"/>
    </row>
    <row r="98" spans="3:42" x14ac:dyDescent="0.25">
      <c r="D98"/>
      <c r="F98" t="s">
        <v>192</v>
      </c>
      <c r="G98" t="s">
        <v>269</v>
      </c>
      <c r="H98" s="272"/>
      <c r="I98" s="272"/>
      <c r="J98" s="287">
        <f>'Initial unit rates'!J224</f>
        <v>0</v>
      </c>
      <c r="K98" s="287">
        <f>'Initial unit rates'!K224</f>
        <v>0</v>
      </c>
      <c r="L98" s="287">
        <f>'Initial unit rates'!L224</f>
        <v>0</v>
      </c>
      <c r="M98" s="287">
        <f>'Initial unit rates'!M224</f>
        <v>0</v>
      </c>
      <c r="N98" s="287">
        <f>'Initial unit rates'!N224</f>
        <v>0</v>
      </c>
      <c r="O98" s="287">
        <f>'Initial unit rates'!O224</f>
        <v>0</v>
      </c>
      <c r="P98" s="287">
        <f>'Initial unit rates'!P224</f>
        <v>0</v>
      </c>
      <c r="Q98" s="287">
        <f>'Initial unit rates'!Q224</f>
        <v>0</v>
      </c>
      <c r="R98" s="287">
        <f>'Initial unit rates'!R224</f>
        <v>0</v>
      </c>
      <c r="S98" s="287">
        <f>'Initial unit rates'!S224</f>
        <v>0</v>
      </c>
      <c r="T98" s="287">
        <f>'Initial unit rates'!T224</f>
        <v>0</v>
      </c>
      <c r="U98" s="287">
        <f>'Initial unit rates'!U224</f>
        <v>0</v>
      </c>
      <c r="V98" s="287">
        <f>'Initial unit rates'!V224</f>
        <v>0</v>
      </c>
      <c r="W98" s="287">
        <f>'Initial unit rates'!W224</f>
        <v>0</v>
      </c>
      <c r="X98" s="287">
        <f>'Initial unit rates'!X224</f>
        <v>0</v>
      </c>
      <c r="Y98" s="287">
        <f>'Initial unit rates'!Y224</f>
        <v>0</v>
      </c>
      <c r="Z98" s="272"/>
      <c r="AA98" s="272"/>
    </row>
    <row r="99" spans="3:42" x14ac:dyDescent="0.25">
      <c r="D99"/>
      <c r="F99" t="s">
        <v>193</v>
      </c>
      <c r="G99" t="s">
        <v>269</v>
      </c>
      <c r="H99" s="272"/>
      <c r="I99" s="272"/>
      <c r="J99" s="287">
        <f>'Initial unit rates'!J225</f>
        <v>0</v>
      </c>
      <c r="K99" s="287">
        <f>'Initial unit rates'!K225</f>
        <v>0</v>
      </c>
      <c r="L99" s="287">
        <f>'Initial unit rates'!L225</f>
        <v>0</v>
      </c>
      <c r="M99" s="287">
        <f>'Initial unit rates'!M225</f>
        <v>0</v>
      </c>
      <c r="N99" s="287">
        <f>'Initial unit rates'!N225</f>
        <v>0</v>
      </c>
      <c r="O99" s="287">
        <f>'Initial unit rates'!O225</f>
        <v>0</v>
      </c>
      <c r="P99" s="287">
        <f>'Initial unit rates'!P225</f>
        <v>0</v>
      </c>
      <c r="Q99" s="287">
        <f>'Initial unit rates'!Q225</f>
        <v>0</v>
      </c>
      <c r="R99" s="287">
        <f>'Initial unit rates'!R225</f>
        <v>0</v>
      </c>
      <c r="S99" s="287">
        <f>'Initial unit rates'!S225</f>
        <v>0</v>
      </c>
      <c r="T99" s="287">
        <f>'Initial unit rates'!T225</f>
        <v>0</v>
      </c>
      <c r="U99" s="287">
        <f>'Initial unit rates'!U225</f>
        <v>0</v>
      </c>
      <c r="V99" s="287">
        <f>'Initial unit rates'!V225</f>
        <v>0</v>
      </c>
      <c r="W99" s="287">
        <f>'Initial unit rates'!W225</f>
        <v>0</v>
      </c>
      <c r="X99" s="287">
        <f>'Initial unit rates'!X225</f>
        <v>0</v>
      </c>
      <c r="Y99" s="287">
        <f>'Initial unit rates'!Y225</f>
        <v>0</v>
      </c>
      <c r="Z99" s="272"/>
      <c r="AA99" s="272"/>
    </row>
    <row r="100" spans="3:42" x14ac:dyDescent="0.25">
      <c r="D100"/>
      <c r="F100" t="s">
        <v>194</v>
      </c>
      <c r="G100" t="s">
        <v>269</v>
      </c>
      <c r="H100" s="272"/>
      <c r="I100" s="272"/>
      <c r="J100" s="287">
        <f>'Initial unit rates'!J226</f>
        <v>4.8068155167537888E-2</v>
      </c>
      <c r="K100" s="287">
        <f>'Initial unit rates'!K226</f>
        <v>4.8068155167537888E-2</v>
      </c>
      <c r="L100" s="287">
        <f>'Initial unit rates'!L226</f>
        <v>5.0197308701820403E-2</v>
      </c>
      <c r="M100" s="287">
        <f>'Initial unit rates'!M226</f>
        <v>5.0197308701820403E-2</v>
      </c>
      <c r="N100" s="287">
        <f>'Initial unit rates'!N226</f>
        <v>4.4783542395376165E-2</v>
      </c>
      <c r="O100" s="287">
        <f>'Initial unit rates'!O226</f>
        <v>3.6932969511491054E-2</v>
      </c>
      <c r="P100" s="287">
        <f>'Initial unit rates'!P226</f>
        <v>3.6989879815590182E-2</v>
      </c>
      <c r="Q100" s="287">
        <f>'Initial unit rates'!Q226</f>
        <v>3.8066992088968826E-2</v>
      </c>
      <c r="R100" s="287">
        <f>'Initial unit rates'!R226</f>
        <v>-3.4459298981545365E-2</v>
      </c>
      <c r="S100" s="287">
        <f>'Initial unit rates'!S226</f>
        <v>-3.3387372023290514E-2</v>
      </c>
      <c r="T100" s="287">
        <f>'Initial unit rates'!T226</f>
        <v>-3.4459298981545365E-2</v>
      </c>
      <c r="U100" s="287">
        <f>'Initial unit rates'!U226</f>
        <v>-3.4459298981545365E-2</v>
      </c>
      <c r="V100" s="287">
        <f>'Initial unit rates'!V226</f>
        <v>-3.3387372023290514E-2</v>
      </c>
      <c r="W100" s="287">
        <f>'Initial unit rates'!W226</f>
        <v>-3.3387372023290514E-2</v>
      </c>
      <c r="X100" s="287">
        <f>'Initial unit rates'!X226</f>
        <v>-3.2662244963294597E-2</v>
      </c>
      <c r="Y100" s="287">
        <f>'Initial unit rates'!Y226</f>
        <v>-3.2662244963294597E-2</v>
      </c>
      <c r="Z100" s="272"/>
      <c r="AA100" s="272"/>
    </row>
    <row r="101" spans="3:42" x14ac:dyDescent="0.25">
      <c r="D101"/>
      <c r="F101" t="s">
        <v>195</v>
      </c>
      <c r="G101" t="s">
        <v>269</v>
      </c>
      <c r="H101" s="272"/>
      <c r="I101" s="272"/>
      <c r="J101" s="287">
        <f>'Initial unit rates'!J227</f>
        <v>4.3491889198531246E-2</v>
      </c>
      <c r="K101" s="287">
        <f>'Initial unit rates'!K227</f>
        <v>4.3491889198531246E-2</v>
      </c>
      <c r="L101" s="287">
        <f>'Initial unit rates'!L227</f>
        <v>4.5418339449782262E-2</v>
      </c>
      <c r="M101" s="287">
        <f>'Initial unit rates'!M227</f>
        <v>4.5418339449782262E-2</v>
      </c>
      <c r="N101" s="287">
        <f>'Initial unit rates'!N227</f>
        <v>4.0519983697913813E-2</v>
      </c>
      <c r="O101" s="287">
        <f>'Initial unit rates'!O227</f>
        <v>3.3416814358028075E-2</v>
      </c>
      <c r="P101" s="287">
        <f>'Initial unit rates'!P227</f>
        <v>3.3468306590910879E-2</v>
      </c>
      <c r="Q101" s="287">
        <f>'Initial unit rates'!Q227</f>
        <v>3.4442873796265143E-2</v>
      </c>
      <c r="R101" s="287">
        <f>'Initial unit rates'!R227</f>
        <v>-3.1178646401985408E-2</v>
      </c>
      <c r="S101" s="287">
        <f>'Initial unit rates'!S227</f>
        <v>-3.0208770850597023E-2</v>
      </c>
      <c r="T101" s="287">
        <f>'Initial unit rates'!T227</f>
        <v>-3.1178646401985408E-2</v>
      </c>
      <c r="U101" s="287">
        <f>'Initial unit rates'!U227</f>
        <v>-3.1178646401985408E-2</v>
      </c>
      <c r="V101" s="287">
        <f>'Initial unit rates'!V227</f>
        <v>-3.0208770850597023E-2</v>
      </c>
      <c r="W101" s="287">
        <f>'Initial unit rates'!W227</f>
        <v>-3.0208770850597023E-2</v>
      </c>
      <c r="X101" s="287">
        <f>'Initial unit rates'!X227</f>
        <v>-2.9552678565834292E-2</v>
      </c>
      <c r="Y101" s="287">
        <f>'Initial unit rates'!Y227</f>
        <v>-2.9552678565834292E-2</v>
      </c>
      <c r="Z101" s="272"/>
      <c r="AA101" s="272"/>
    </row>
    <row r="102" spans="3:42" x14ac:dyDescent="0.25">
      <c r="D102"/>
      <c r="F102" t="s">
        <v>196</v>
      </c>
      <c r="G102" t="s">
        <v>269</v>
      </c>
      <c r="H102" s="272"/>
      <c r="I102" s="272"/>
      <c r="J102" s="287">
        <f>'Initial unit rates'!J228</f>
        <v>0</v>
      </c>
      <c r="K102" s="287">
        <f>'Initial unit rates'!K228</f>
        <v>0</v>
      </c>
      <c r="L102" s="287">
        <f>'Initial unit rates'!L228</f>
        <v>0</v>
      </c>
      <c r="M102" s="287">
        <f>'Initial unit rates'!M228</f>
        <v>0</v>
      </c>
      <c r="N102" s="287">
        <f>'Initial unit rates'!N228</f>
        <v>0</v>
      </c>
      <c r="O102" s="287">
        <f>'Initial unit rates'!O228</f>
        <v>0</v>
      </c>
      <c r="P102" s="287">
        <f>'Initial unit rates'!P228</f>
        <v>0</v>
      </c>
      <c r="Q102" s="287">
        <f>'Initial unit rates'!Q228</f>
        <v>0</v>
      </c>
      <c r="R102" s="287">
        <f>'Initial unit rates'!R228</f>
        <v>0</v>
      </c>
      <c r="S102" s="287">
        <f>'Initial unit rates'!S228</f>
        <v>0</v>
      </c>
      <c r="T102" s="287">
        <f>'Initial unit rates'!T228</f>
        <v>0</v>
      </c>
      <c r="U102" s="287">
        <f>'Initial unit rates'!U228</f>
        <v>0</v>
      </c>
      <c r="V102" s="287">
        <f>'Initial unit rates'!V228</f>
        <v>0</v>
      </c>
      <c r="W102" s="287">
        <f>'Initial unit rates'!W228</f>
        <v>0</v>
      </c>
      <c r="X102" s="287">
        <f>'Initial unit rates'!X228</f>
        <v>0</v>
      </c>
      <c r="Y102" s="287">
        <f>'Initial unit rates'!Y228</f>
        <v>0</v>
      </c>
      <c r="Z102" s="272"/>
      <c r="AA102" s="272"/>
    </row>
    <row r="103" spans="3:42" x14ac:dyDescent="0.25">
      <c r="D103"/>
      <c r="F103" t="s">
        <v>197</v>
      </c>
      <c r="G103" t="s">
        <v>269</v>
      </c>
      <c r="H103" s="272"/>
      <c r="I103" s="272"/>
      <c r="J103" s="287">
        <f>'Initial unit rates'!J229</f>
        <v>0.17971954696941497</v>
      </c>
      <c r="K103" s="287">
        <f>'Initial unit rates'!K229</f>
        <v>0.17971954696941497</v>
      </c>
      <c r="L103" s="287">
        <f>'Initial unit rates'!L229</f>
        <v>0.18768012933992376</v>
      </c>
      <c r="M103" s="287">
        <f>'Initial unit rates'!M229</f>
        <v>0.18768012933992376</v>
      </c>
      <c r="N103" s="287">
        <f>'Initial unit rates'!N229</f>
        <v>0.16743887762969553</v>
      </c>
      <c r="O103" s="287">
        <f>'Initial unit rates'!O229</f>
        <v>0.13808677544843609</v>
      </c>
      <c r="P103" s="287">
        <f>'Initial unit rates'!P229</f>
        <v>0.138299554450146</v>
      </c>
      <c r="Q103" s="287">
        <f>'Initial unit rates'!Q229</f>
        <v>0.14232671399334268</v>
      </c>
      <c r="R103" s="287">
        <f>'Initial unit rates'!R229</f>
        <v>-0.12883809624608419</v>
      </c>
      <c r="S103" s="287">
        <f>'Initial unit rates'!S229</f>
        <v>-0.1248303238102499</v>
      </c>
      <c r="T103" s="287">
        <f>'Initial unit rates'!T229</f>
        <v>-0.12883809624608419</v>
      </c>
      <c r="U103" s="287">
        <f>'Initial unit rates'!U229</f>
        <v>-0.12883809624608419</v>
      </c>
      <c r="V103" s="287">
        <f>'Initial unit rates'!V229</f>
        <v>-0.1248303238102499</v>
      </c>
      <c r="W103" s="287">
        <f>'Initial unit rates'!W229</f>
        <v>-0.1248303238102499</v>
      </c>
      <c r="X103" s="287">
        <f>'Initial unit rates'!X229</f>
        <v>0</v>
      </c>
      <c r="Y103" s="287">
        <f>'Initial unit rates'!Y229</f>
        <v>0</v>
      </c>
      <c r="Z103" s="272"/>
      <c r="AA103" s="272"/>
    </row>
    <row r="104" spans="3:42" x14ac:dyDescent="0.25">
      <c r="D104"/>
      <c r="F104" t="s">
        <v>198</v>
      </c>
      <c r="G104" t="s">
        <v>269</v>
      </c>
      <c r="H104" s="272"/>
      <c r="I104" s="272"/>
      <c r="J104" s="287">
        <f>'Initial unit rates'!J230</f>
        <v>4.3519369782134262E-2</v>
      </c>
      <c r="K104" s="287">
        <f>'Initial unit rates'!K230</f>
        <v>4.3519369782134262E-2</v>
      </c>
      <c r="L104" s="287">
        <f>'Initial unit rates'!L230</f>
        <v>4.5447037271315445E-2</v>
      </c>
      <c r="M104" s="287">
        <f>'Initial unit rates'!M230</f>
        <v>4.5447037271315445E-2</v>
      </c>
      <c r="N104" s="287">
        <f>'Initial unit rates'!N230</f>
        <v>4.0545586467076594E-2</v>
      </c>
      <c r="O104" s="287">
        <f>'Initial unit rates'!O230</f>
        <v>3.3437928951522054E-2</v>
      </c>
      <c r="P104" s="287">
        <f>'Initial unit rates'!P230</f>
        <v>0</v>
      </c>
      <c r="Q104" s="287">
        <f>'Initial unit rates'!Q230</f>
        <v>3.4464636710921856E-2</v>
      </c>
      <c r="R104" s="287">
        <f>'Initial unit rates'!R230</f>
        <v>-3.1198346797044533E-2</v>
      </c>
      <c r="S104" s="287">
        <f>'Initial unit rates'!S230</f>
        <v>0</v>
      </c>
      <c r="T104" s="287">
        <f>'Initial unit rates'!T230</f>
        <v>-3.1198346797044533E-2</v>
      </c>
      <c r="U104" s="287">
        <f>'Initial unit rates'!U230</f>
        <v>-3.1198346797044533E-2</v>
      </c>
      <c r="V104" s="287">
        <f>'Initial unit rates'!V230</f>
        <v>0</v>
      </c>
      <c r="W104" s="287">
        <f>'Initial unit rates'!W230</f>
        <v>0</v>
      </c>
      <c r="X104" s="287">
        <f>'Initial unit rates'!X230</f>
        <v>0</v>
      </c>
      <c r="Y104" s="287">
        <f>'Initial unit rates'!Y230</f>
        <v>0</v>
      </c>
      <c r="Z104" s="272"/>
      <c r="AA104" s="272"/>
    </row>
    <row r="105" spans="3:42" x14ac:dyDescent="0.25">
      <c r="D105"/>
      <c r="F105" t="s">
        <v>199</v>
      </c>
      <c r="G105" t="s">
        <v>269</v>
      </c>
      <c r="H105" s="272"/>
      <c r="I105" s="272"/>
      <c r="J105" s="287">
        <f>'Initial unit rates'!J231</f>
        <v>0.10330667093635608</v>
      </c>
      <c r="K105" s="287">
        <f>'Initial unit rates'!K231</f>
        <v>0.10330667093635608</v>
      </c>
      <c r="L105" s="287">
        <f>'Initial unit rates'!L231</f>
        <v>0.10788258533898844</v>
      </c>
      <c r="M105" s="287">
        <f>'Initial unit rates'!M231</f>
        <v>0.10788258533898844</v>
      </c>
      <c r="N105" s="287">
        <f>'Initial unit rates'!N231</f>
        <v>9.6247477388686498E-2</v>
      </c>
      <c r="O105" s="287">
        <f>'Initial unit rates'!O231</f>
        <v>0</v>
      </c>
      <c r="P105" s="287">
        <f>'Initial unit rates'!P231</f>
        <v>0</v>
      </c>
      <c r="Q105" s="287">
        <f>'Initial unit rates'!Q231</f>
        <v>8.1812464230534454E-2</v>
      </c>
      <c r="R105" s="287">
        <f>'Initial unit rates'!R231</f>
        <v>0</v>
      </c>
      <c r="S105" s="287">
        <f>'Initial unit rates'!S231</f>
        <v>0</v>
      </c>
      <c r="T105" s="287">
        <f>'Initial unit rates'!T231</f>
        <v>0</v>
      </c>
      <c r="U105" s="287">
        <f>'Initial unit rates'!U231</f>
        <v>0</v>
      </c>
      <c r="V105" s="287">
        <f>'Initial unit rates'!V231</f>
        <v>0</v>
      </c>
      <c r="W105" s="287">
        <f>'Initial unit rates'!W231</f>
        <v>0</v>
      </c>
      <c r="X105" s="287">
        <f>'Initial unit rates'!X231</f>
        <v>0</v>
      </c>
      <c r="Y105" s="287">
        <f>'Initial unit rates'!Y231</f>
        <v>0</v>
      </c>
      <c r="Z105" s="272"/>
      <c r="AA105" s="272"/>
    </row>
    <row r="106" spans="3:42" x14ac:dyDescent="0.25">
      <c r="D106"/>
      <c r="F106" s="23" t="s">
        <v>376</v>
      </c>
      <c r="G106" s="23" t="s">
        <v>269</v>
      </c>
      <c r="H106" s="270"/>
      <c r="I106" s="270" t="s">
        <v>154</v>
      </c>
      <c r="J106" s="288"/>
      <c r="K106" s="288"/>
      <c r="L106" s="288"/>
      <c r="M106" s="288"/>
      <c r="N106" s="288"/>
      <c r="O106" s="288"/>
      <c r="P106" s="288"/>
      <c r="Q106" s="286">
        <f>'Service model charges'!$Q$44</f>
        <v>2.1262931523237087</v>
      </c>
      <c r="R106" s="288"/>
      <c r="S106" s="288"/>
      <c r="T106" s="288"/>
      <c r="U106" s="288"/>
      <c r="V106" s="288"/>
      <c r="W106" s="288"/>
      <c r="X106" s="288"/>
      <c r="Y106" s="288"/>
      <c r="Z106" s="272"/>
      <c r="AA106" s="272" t="s">
        <v>654</v>
      </c>
    </row>
    <row r="107" spans="3:42" x14ac:dyDescent="0.25">
      <c r="D107"/>
      <c r="F107" s="37" t="s">
        <v>377</v>
      </c>
      <c r="G107" s="37" t="s">
        <v>269</v>
      </c>
      <c r="H107" s="276"/>
      <c r="I107" s="276"/>
      <c r="J107" s="277"/>
      <c r="K107" s="277"/>
      <c r="L107" s="277"/>
      <c r="M107" s="277"/>
      <c r="N107" s="277"/>
      <c r="O107" s="277"/>
      <c r="P107" s="277"/>
      <c r="Q107" s="277"/>
      <c r="R107" s="277"/>
      <c r="S107" s="277"/>
      <c r="T107" s="277"/>
      <c r="U107" s="277"/>
      <c r="V107" s="277"/>
      <c r="W107" s="277"/>
      <c r="X107" s="277"/>
      <c r="Y107" s="277"/>
      <c r="Z107" s="272"/>
      <c r="AA107" s="272"/>
    </row>
    <row r="109" spans="3:42" x14ac:dyDescent="0.25">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25">
      <c r="D110" s="32"/>
      <c r="E110" s="32"/>
      <c r="J110" s="63"/>
      <c r="K110" s="63"/>
      <c r="L110" s="63"/>
      <c r="M110" s="63"/>
      <c r="N110" s="63"/>
      <c r="O110" s="63"/>
      <c r="P110" s="63"/>
      <c r="Q110" s="63"/>
      <c r="R110" s="63"/>
      <c r="S110" s="63"/>
      <c r="T110" s="63"/>
      <c r="U110" s="63"/>
      <c r="V110" s="63"/>
      <c r="W110" s="63"/>
      <c r="X110" s="63"/>
      <c r="Y110" s="63"/>
    </row>
    <row r="111" spans="3:42" x14ac:dyDescent="0.25">
      <c r="D111"/>
      <c r="E111" s="32" t="s">
        <v>120</v>
      </c>
      <c r="H111" s="14"/>
      <c r="I111" t="s">
        <v>154</v>
      </c>
      <c r="J111" s="63"/>
      <c r="L111" s="63"/>
      <c r="AA111" t="s">
        <v>203</v>
      </c>
      <c r="AP111" s="3"/>
    </row>
    <row r="112" spans="3:42" x14ac:dyDescent="0.25">
      <c r="C112" s="32"/>
      <c r="D112"/>
      <c r="E112"/>
      <c r="F112" s="23" t="s">
        <v>191</v>
      </c>
      <c r="G112" s="23" t="s">
        <v>167</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25">
      <c r="C113" s="32"/>
      <c r="D113"/>
      <c r="E113"/>
      <c r="F113" t="s">
        <v>192</v>
      </c>
      <c r="G113" t="s">
        <v>167</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25">
      <c r="C114" s="32"/>
      <c r="D114"/>
      <c r="E114"/>
      <c r="F114" t="s">
        <v>193</v>
      </c>
      <c r="G114" t="s">
        <v>167</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25">
      <c r="C115" s="32"/>
      <c r="D115"/>
      <c r="E115"/>
      <c r="F115" t="s">
        <v>194</v>
      </c>
      <c r="G115" t="s">
        <v>167</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25">
      <c r="C116" s="32"/>
      <c r="D116"/>
      <c r="E116"/>
      <c r="F116" t="s">
        <v>195</v>
      </c>
      <c r="G116" t="s">
        <v>167</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25">
      <c r="C117" s="32"/>
      <c r="D117"/>
      <c r="E117"/>
      <c r="F117" t="s">
        <v>196</v>
      </c>
      <c r="G117" t="s">
        <v>167</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25">
      <c r="C118" s="32"/>
      <c r="D118"/>
      <c r="E118"/>
      <c r="F118" t="s">
        <v>197</v>
      </c>
      <c r="G118" t="s">
        <v>167</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25">
      <c r="C119" s="32"/>
      <c r="D119"/>
      <c r="E119"/>
      <c r="F119" t="s">
        <v>198</v>
      </c>
      <c r="G119" t="s">
        <v>167</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25">
      <c r="C120" s="32"/>
      <c r="D120"/>
      <c r="E120"/>
      <c r="F120" s="37" t="s">
        <v>199</v>
      </c>
      <c r="G120" s="37" t="s">
        <v>167</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25">
      <c r="B122" s="30" t="s">
        <v>655</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25">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25">
      <c r="C125" s="32"/>
      <c r="D125"/>
      <c r="E125" s="32"/>
      <c r="I125" t="s">
        <v>154</v>
      </c>
      <c r="AA125" t="s">
        <v>656</v>
      </c>
    </row>
    <row r="126" spans="2:42" x14ac:dyDescent="0.25">
      <c r="E126" s="32" t="s">
        <v>621</v>
      </c>
    </row>
    <row r="127" spans="2:42" x14ac:dyDescent="0.25">
      <c r="F127" s="23" t="s">
        <v>189</v>
      </c>
      <c r="G127" s="23" t="s">
        <v>269</v>
      </c>
      <c r="H127" s="270"/>
      <c r="I127" s="270"/>
      <c r="J127" s="289">
        <f t="shared" ref="J127:K127" si="0">J22 * (1 - J$112)</f>
        <v>0</v>
      </c>
      <c r="K127" s="289">
        <f t="shared" si="0"/>
        <v>0</v>
      </c>
      <c r="L127" s="289">
        <f t="shared" ref="L127:M127" si="1">L22 * (1 - L$112)</f>
        <v>0</v>
      </c>
      <c r="M127" s="289">
        <f t="shared" si="1"/>
        <v>0</v>
      </c>
      <c r="N127" s="289">
        <f t="shared" ref="N127:P127" si="2">N22 * (1 - N$112)</f>
        <v>0</v>
      </c>
      <c r="O127" s="289">
        <f t="shared" si="2"/>
        <v>0</v>
      </c>
      <c r="P127" s="289">
        <f t="shared" si="2"/>
        <v>0</v>
      </c>
      <c r="Q127" s="289">
        <f t="shared" ref="Q127:S127" si="3">Q22 * (1 - Q$112)</f>
        <v>0</v>
      </c>
      <c r="R127" s="289">
        <f t="shared" si="3"/>
        <v>0</v>
      </c>
      <c r="S127" s="289">
        <f t="shared" si="3"/>
        <v>0</v>
      </c>
      <c r="T127" s="289">
        <f t="shared" ref="T127:U127" si="4">T22 * (1 - T$112)</f>
        <v>0</v>
      </c>
      <c r="U127" s="289">
        <f t="shared" si="4"/>
        <v>0</v>
      </c>
      <c r="V127" s="289">
        <f t="shared" ref="V127:W127" si="5">V22 * (1 - V$112)</f>
        <v>0</v>
      </c>
      <c r="W127" s="289">
        <f t="shared" si="5"/>
        <v>0</v>
      </c>
      <c r="X127" s="289">
        <f t="shared" ref="X127:Y127" si="6">X22 * (1 - X$112)</f>
        <v>0</v>
      </c>
      <c r="Y127" s="289">
        <f t="shared" si="6"/>
        <v>0</v>
      </c>
      <c r="Z127" s="272"/>
      <c r="AA127" s="272"/>
    </row>
    <row r="128" spans="2:42" x14ac:dyDescent="0.25">
      <c r="F128" t="s">
        <v>191</v>
      </c>
      <c r="G128" t="s">
        <v>269</v>
      </c>
      <c r="H128" s="272"/>
      <c r="I128" s="272"/>
      <c r="J128" s="290">
        <f t="shared" ref="J128:K128" si="7">J23 * (1 - J$112)</f>
        <v>0</v>
      </c>
      <c r="K128" s="290">
        <f t="shared" si="7"/>
        <v>0</v>
      </c>
      <c r="L128" s="290">
        <f t="shared" ref="L128:M128" si="8">L23 * (1 - L$112)</f>
        <v>0</v>
      </c>
      <c r="M128" s="290">
        <f t="shared" si="8"/>
        <v>0</v>
      </c>
      <c r="N128" s="290">
        <f t="shared" ref="N128:P128" si="9">N23 * (1 - N$112)</f>
        <v>0</v>
      </c>
      <c r="O128" s="290">
        <f t="shared" si="9"/>
        <v>0</v>
      </c>
      <c r="P128" s="290">
        <f t="shared" si="9"/>
        <v>0</v>
      </c>
      <c r="Q128" s="290">
        <f t="shared" ref="Q128:S128" si="10">Q23 * (1 - Q$112)</f>
        <v>0</v>
      </c>
      <c r="R128" s="290">
        <f t="shared" si="10"/>
        <v>0</v>
      </c>
      <c r="S128" s="290">
        <f t="shared" si="10"/>
        <v>0</v>
      </c>
      <c r="T128" s="290">
        <f t="shared" ref="T128:U128" si="11">T23 * (1 - T$112)</f>
        <v>0</v>
      </c>
      <c r="U128" s="290">
        <f t="shared" si="11"/>
        <v>0</v>
      </c>
      <c r="V128" s="290">
        <f t="shared" ref="V128:W128" si="12">V23 * (1 - V$112)</f>
        <v>0</v>
      </c>
      <c r="W128" s="290">
        <f t="shared" si="12"/>
        <v>0</v>
      </c>
      <c r="X128" s="290">
        <f t="shared" ref="X128:Y128" si="13">X23 * (1 - X$112)</f>
        <v>0</v>
      </c>
      <c r="Y128" s="290">
        <f t="shared" si="13"/>
        <v>0</v>
      </c>
      <c r="Z128" s="272"/>
      <c r="AA128" s="272"/>
    </row>
    <row r="129" spans="4:27" x14ac:dyDescent="0.25">
      <c r="F129" t="s">
        <v>192</v>
      </c>
      <c r="G129" t="s">
        <v>269</v>
      </c>
      <c r="H129" s="272"/>
      <c r="I129" s="272"/>
      <c r="J129" s="290">
        <f t="shared" ref="J129:K129" si="14">J24 * (1 - J$113)</f>
        <v>0</v>
      </c>
      <c r="K129" s="290">
        <f t="shared" si="14"/>
        <v>0</v>
      </c>
      <c r="L129" s="290">
        <f t="shared" ref="L129:M129" si="15">L24 * (1 - L$113)</f>
        <v>0</v>
      </c>
      <c r="M129" s="290">
        <f t="shared" si="15"/>
        <v>0</v>
      </c>
      <c r="N129" s="290">
        <f t="shared" ref="N129:P129" si="16">N24 * (1 - N$113)</f>
        <v>0</v>
      </c>
      <c r="O129" s="290">
        <f t="shared" si="16"/>
        <v>0</v>
      </c>
      <c r="P129" s="290">
        <f t="shared" si="16"/>
        <v>0</v>
      </c>
      <c r="Q129" s="290">
        <f t="shared" ref="Q129:S129" si="17">Q24 * (1 - Q$113)</f>
        <v>0</v>
      </c>
      <c r="R129" s="290">
        <f t="shared" si="17"/>
        <v>0</v>
      </c>
      <c r="S129" s="290">
        <f t="shared" si="17"/>
        <v>0</v>
      </c>
      <c r="T129" s="290">
        <f t="shared" ref="T129:U129" si="18">T24 * (1 - T$113)</f>
        <v>0</v>
      </c>
      <c r="U129" s="290">
        <f t="shared" si="18"/>
        <v>0</v>
      </c>
      <c r="V129" s="290">
        <f t="shared" ref="V129:W129" si="19">V24 * (1 - V$113)</f>
        <v>0</v>
      </c>
      <c r="W129" s="290">
        <f t="shared" si="19"/>
        <v>0</v>
      </c>
      <c r="X129" s="290">
        <f t="shared" ref="X129:Y129" si="20">X24 * (1 - X$113)</f>
        <v>0</v>
      </c>
      <c r="Y129" s="290">
        <f t="shared" si="20"/>
        <v>0</v>
      </c>
      <c r="Z129" s="272"/>
      <c r="AA129" s="272"/>
    </row>
    <row r="130" spans="4:27" x14ac:dyDescent="0.25">
      <c r="F130" t="s">
        <v>193</v>
      </c>
      <c r="G130" t="s">
        <v>269</v>
      </c>
      <c r="H130" s="272"/>
      <c r="I130" s="272"/>
      <c r="J130" s="290">
        <f t="shared" ref="J130:K130" si="21">J25 * (1 - J$114)</f>
        <v>0</v>
      </c>
      <c r="K130" s="290">
        <f t="shared" si="21"/>
        <v>0</v>
      </c>
      <c r="L130" s="290">
        <f t="shared" ref="L130:M130" si="22">L25 * (1 - L$114)</f>
        <v>0</v>
      </c>
      <c r="M130" s="290">
        <f t="shared" si="22"/>
        <v>0</v>
      </c>
      <c r="N130" s="290">
        <f t="shared" ref="N130:P130" si="23">N25 * (1 - N$114)</f>
        <v>0</v>
      </c>
      <c r="O130" s="290">
        <f t="shared" si="23"/>
        <v>0</v>
      </c>
      <c r="P130" s="290">
        <f t="shared" si="23"/>
        <v>0</v>
      </c>
      <c r="Q130" s="290">
        <f t="shared" ref="Q130:S130" si="24">Q25 * (1 - Q$114)</f>
        <v>0</v>
      </c>
      <c r="R130" s="290">
        <f t="shared" si="24"/>
        <v>0</v>
      </c>
      <c r="S130" s="290">
        <f t="shared" si="24"/>
        <v>0</v>
      </c>
      <c r="T130" s="290">
        <f t="shared" ref="T130:U130" si="25">T25 * (1 - T$114)</f>
        <v>0</v>
      </c>
      <c r="U130" s="290">
        <f t="shared" si="25"/>
        <v>0</v>
      </c>
      <c r="V130" s="290">
        <f t="shared" ref="V130:W130" si="26">V25 * (1 - V$114)</f>
        <v>0</v>
      </c>
      <c r="W130" s="290">
        <f t="shared" si="26"/>
        <v>0</v>
      </c>
      <c r="X130" s="290">
        <f t="shared" ref="X130:Y130" si="27">X25 * (1 - X$114)</f>
        <v>0</v>
      </c>
      <c r="Y130" s="290">
        <f t="shared" si="27"/>
        <v>0</v>
      </c>
      <c r="Z130" s="272"/>
      <c r="AA130" s="272"/>
    </row>
    <row r="131" spans="4:27" x14ac:dyDescent="0.25">
      <c r="F131" t="s">
        <v>194</v>
      </c>
      <c r="G131" t="s">
        <v>269</v>
      </c>
      <c r="H131" s="272"/>
      <c r="I131" s="272"/>
      <c r="J131" s="290">
        <f t="shared" ref="J131:K131" si="28">J26 * (1 - J$115)</f>
        <v>0.7503912972474287</v>
      </c>
      <c r="K131" s="290">
        <f t="shared" si="28"/>
        <v>0.7503912972474287</v>
      </c>
      <c r="L131" s="290">
        <f t="shared" ref="L131:M131" si="29">L26 * (1 - L$115)</f>
        <v>0.7836294832577001</v>
      </c>
      <c r="M131" s="290">
        <f t="shared" si="29"/>
        <v>0.7836294832577001</v>
      </c>
      <c r="N131" s="290">
        <f t="shared" ref="N131:P131" si="30">N26 * (1 - N$115)</f>
        <v>0.69911525325391122</v>
      </c>
      <c r="O131" s="290">
        <f t="shared" si="30"/>
        <v>0.57656006989100894</v>
      </c>
      <c r="P131" s="290">
        <f t="shared" si="30"/>
        <v>0.45951128140143249</v>
      </c>
      <c r="Q131" s="290">
        <f t="shared" ref="Q131:S131" si="31">Q26 * (1 - Q$115)</f>
        <v>1.2938295335385723</v>
      </c>
      <c r="R131" s="290">
        <f t="shared" si="31"/>
        <v>-0.53794363388552957</v>
      </c>
      <c r="S131" s="290">
        <f t="shared" si="31"/>
        <v>-0.5212097971498405</v>
      </c>
      <c r="T131" s="290">
        <f t="shared" ref="T131:U131" si="32">T26 * (1 - T$115)</f>
        <v>-0.53794363388552957</v>
      </c>
      <c r="U131" s="290">
        <f t="shared" si="32"/>
        <v>-0.53794363388552957</v>
      </c>
      <c r="V131" s="290">
        <f t="shared" ref="V131:W131" si="33">V26 * (1 - V$115)</f>
        <v>-0.5212097971498405</v>
      </c>
      <c r="W131" s="290">
        <f t="shared" si="33"/>
        <v>-0.5212097971498405</v>
      </c>
      <c r="X131" s="290">
        <f t="shared" ref="X131:Y131" si="34">X26 * (1 - X$115)</f>
        <v>-0.50718838880240358</v>
      </c>
      <c r="Y131" s="290">
        <f t="shared" si="34"/>
        <v>-0.50718838880240358</v>
      </c>
      <c r="Z131" s="272"/>
      <c r="AA131" s="272"/>
    </row>
    <row r="132" spans="4:27" x14ac:dyDescent="0.25">
      <c r="F132" t="s">
        <v>195</v>
      </c>
      <c r="G132" t="s">
        <v>269</v>
      </c>
      <c r="H132" s="272"/>
      <c r="I132" s="272"/>
      <c r="J132" s="290">
        <f t="shared" ref="J132:K132" si="35">J27 * (1 - J$116)</f>
        <v>0.68050391555871759</v>
      </c>
      <c r="K132" s="290">
        <f t="shared" si="35"/>
        <v>0.68050391555871759</v>
      </c>
      <c r="L132" s="290">
        <f t="shared" ref="L132:M132" si="36">L27 * (1 - L$116)</f>
        <v>0.71064647692507166</v>
      </c>
      <c r="M132" s="290">
        <f t="shared" si="36"/>
        <v>0.71064647692507166</v>
      </c>
      <c r="N132" s="290">
        <f t="shared" ref="N132:P132" si="37">N27 * (1 - N$116)</f>
        <v>0.63400344461782898</v>
      </c>
      <c r="O132" s="290">
        <f t="shared" si="37"/>
        <v>0.5228623873369207</v>
      </c>
      <c r="P132" s="290">
        <f t="shared" si="37"/>
        <v>0</v>
      </c>
      <c r="Q132" s="290">
        <f t="shared" ref="Q132:S132" si="38">Q27 * (1 - Q$116)</f>
        <v>1.1733292575062901</v>
      </c>
      <c r="R132" s="290">
        <f t="shared" si="38"/>
        <v>-0.48784247705405059</v>
      </c>
      <c r="S132" s="290">
        <f t="shared" si="38"/>
        <v>-0.4726671392499906</v>
      </c>
      <c r="T132" s="290">
        <f t="shared" ref="T132:U132" si="39">T27 * (1 - T$116)</f>
        <v>-0.48784247705405059</v>
      </c>
      <c r="U132" s="290">
        <f t="shared" si="39"/>
        <v>-0.48784247705405059</v>
      </c>
      <c r="V132" s="290">
        <f t="shared" ref="V132:W132" si="40">V27 * (1 - V$116)</f>
        <v>-0.4726671392499906</v>
      </c>
      <c r="W132" s="290">
        <f t="shared" si="40"/>
        <v>-0.4726671392499906</v>
      </c>
      <c r="X132" s="290">
        <f t="shared" ref="X132:Y132" si="41">X27 * (1 - X$116)</f>
        <v>-0.4608203953347364</v>
      </c>
      <c r="Y132" s="290">
        <f t="shared" si="41"/>
        <v>-0.4608203953347364</v>
      </c>
      <c r="Z132" s="272"/>
      <c r="AA132" s="272"/>
    </row>
    <row r="133" spans="4:27" x14ac:dyDescent="0.25">
      <c r="F133" t="s">
        <v>196</v>
      </c>
      <c r="G133" t="s">
        <v>269</v>
      </c>
      <c r="H133" s="272"/>
      <c r="I133" s="272"/>
      <c r="J133" s="290">
        <f t="shared" ref="J133:K133" si="42">J28 * (1 - J$117)</f>
        <v>0</v>
      </c>
      <c r="K133" s="290">
        <f t="shared" si="42"/>
        <v>0</v>
      </c>
      <c r="L133" s="290">
        <f t="shared" ref="L133:M133" si="43">L28 * (1 - L$117)</f>
        <v>0</v>
      </c>
      <c r="M133" s="290">
        <f t="shared" si="43"/>
        <v>0</v>
      </c>
      <c r="N133" s="290">
        <f t="shared" ref="N133:P133" si="44">N28 * (1 - N$117)</f>
        <v>0</v>
      </c>
      <c r="O133" s="290">
        <f t="shared" si="44"/>
        <v>0</v>
      </c>
      <c r="P133" s="290">
        <f t="shared" si="44"/>
        <v>0</v>
      </c>
      <c r="Q133" s="290">
        <f t="shared" ref="Q133:S133" si="45">Q28 * (1 - Q$117)</f>
        <v>0</v>
      </c>
      <c r="R133" s="290">
        <f t="shared" si="45"/>
        <v>0</v>
      </c>
      <c r="S133" s="290">
        <f t="shared" si="45"/>
        <v>0</v>
      </c>
      <c r="T133" s="290">
        <f t="shared" ref="T133:U133" si="46">T28 * (1 - T$117)</f>
        <v>0</v>
      </c>
      <c r="U133" s="290">
        <f t="shared" si="46"/>
        <v>0</v>
      </c>
      <c r="V133" s="290">
        <f t="shared" ref="V133:W133" si="47">V28 * (1 - V$117)</f>
        <v>0</v>
      </c>
      <c r="W133" s="290">
        <f t="shared" si="47"/>
        <v>0</v>
      </c>
      <c r="X133" s="290">
        <f t="shared" ref="X133:Y133" si="48">X28 * (1 - X$117)</f>
        <v>0</v>
      </c>
      <c r="Y133" s="290">
        <f t="shared" si="48"/>
        <v>0</v>
      </c>
      <c r="Z133" s="272"/>
      <c r="AA133" s="272"/>
    </row>
    <row r="134" spans="4:27" x14ac:dyDescent="0.25">
      <c r="F134" t="s">
        <v>197</v>
      </c>
      <c r="G134" t="s">
        <v>269</v>
      </c>
      <c r="H134" s="272"/>
      <c r="I134" s="272"/>
      <c r="J134" s="290">
        <f t="shared" ref="J134:K134" si="49">J29 * (1 - J$118)</f>
        <v>1.6230340273617363</v>
      </c>
      <c r="K134" s="290">
        <f t="shared" si="49"/>
        <v>1.6230340273617363</v>
      </c>
      <c r="L134" s="290">
        <f t="shared" ref="L134:M134" si="50">L29 * (1 - L$118)</f>
        <v>1.6949254620043495</v>
      </c>
      <c r="M134" s="290">
        <f t="shared" si="50"/>
        <v>1.6949254620043495</v>
      </c>
      <c r="N134" s="290">
        <f t="shared" ref="N134:P134" si="51">N29 * (1 - N$118)</f>
        <v>1.2097025637061158</v>
      </c>
      <c r="O134" s="290">
        <f t="shared" si="51"/>
        <v>0</v>
      </c>
      <c r="P134" s="290">
        <f t="shared" si="51"/>
        <v>0</v>
      </c>
      <c r="Q134" s="290">
        <f t="shared" ref="Q134:S134" si="52">Q29 * (1 - Q$118)</f>
        <v>2.7984457792109092</v>
      </c>
      <c r="R134" s="290">
        <f t="shared" si="52"/>
        <v>-1.1635273833818842</v>
      </c>
      <c r="S134" s="290">
        <f t="shared" si="52"/>
        <v>-1.1273334849052292</v>
      </c>
      <c r="T134" s="290">
        <f t="shared" ref="T134:U134" si="53">T29 * (1 - T$118)</f>
        <v>-1.1635273833818842</v>
      </c>
      <c r="U134" s="290">
        <f t="shared" si="53"/>
        <v>-1.1635273833818842</v>
      </c>
      <c r="V134" s="290">
        <f t="shared" ref="V134:W134" si="54">V29 * (1 - V$118)</f>
        <v>-1.1273334849052292</v>
      </c>
      <c r="W134" s="290">
        <f t="shared" si="54"/>
        <v>-1.1273334849052292</v>
      </c>
      <c r="X134" s="290">
        <f t="shared" ref="X134:Y134" si="55">X29 * (1 - X$118)</f>
        <v>0</v>
      </c>
      <c r="Y134" s="290">
        <f t="shared" si="55"/>
        <v>0</v>
      </c>
      <c r="Z134" s="272"/>
      <c r="AA134" s="272"/>
    </row>
    <row r="135" spans="4:27" x14ac:dyDescent="0.25">
      <c r="F135" t="s">
        <v>198</v>
      </c>
      <c r="G135" t="s">
        <v>269</v>
      </c>
      <c r="H135" s="272"/>
      <c r="I135" s="272"/>
      <c r="J135" s="290">
        <f t="shared" ref="J135:K135" si="56">J30 * (1 - J$119)</f>
        <v>0.14864773684826155</v>
      </c>
      <c r="K135" s="290">
        <f t="shared" si="56"/>
        <v>0.14864773684826155</v>
      </c>
      <c r="L135" s="290">
        <f t="shared" ref="L135:M135" si="57">L30 * (1 - L$119)</f>
        <v>0.15523200980757232</v>
      </c>
      <c r="M135" s="290">
        <f t="shared" si="57"/>
        <v>0.15523200980757232</v>
      </c>
      <c r="N135" s="290">
        <f t="shared" ref="N135:P135" si="58">N30 * (1 - N$119)</f>
        <v>0</v>
      </c>
      <c r="O135" s="290">
        <f t="shared" si="58"/>
        <v>0</v>
      </c>
      <c r="P135" s="290">
        <f t="shared" si="58"/>
        <v>0</v>
      </c>
      <c r="Q135" s="290">
        <f t="shared" ref="Q135:S135" si="59">Q30 * (1 - Q$119)</f>
        <v>0.25629939037597183</v>
      </c>
      <c r="R135" s="290">
        <f t="shared" si="59"/>
        <v>-0.10656320778550681</v>
      </c>
      <c r="S135" s="290">
        <f t="shared" si="59"/>
        <v>0</v>
      </c>
      <c r="T135" s="290">
        <f t="shared" ref="T135:U135" si="60">T30 * (1 - T$119)</f>
        <v>-0.10656320778550681</v>
      </c>
      <c r="U135" s="290">
        <f t="shared" si="60"/>
        <v>-0.10656320778550681</v>
      </c>
      <c r="V135" s="290">
        <f t="shared" ref="V135:W135" si="61">V30 * (1 - V$119)</f>
        <v>0</v>
      </c>
      <c r="W135" s="290">
        <f t="shared" si="61"/>
        <v>0</v>
      </c>
      <c r="X135" s="290">
        <f t="shared" ref="X135:Y135" si="62">X30 * (1 - X$119)</f>
        <v>0</v>
      </c>
      <c r="Y135" s="290">
        <f t="shared" si="62"/>
        <v>0</v>
      </c>
      <c r="Z135" s="272"/>
      <c r="AA135" s="272"/>
    </row>
    <row r="136" spans="4:27" x14ac:dyDescent="0.25">
      <c r="F136" t="s">
        <v>199</v>
      </c>
      <c r="G136" t="s">
        <v>269</v>
      </c>
      <c r="H136" s="272"/>
      <c r="I136" s="272"/>
      <c r="J136" s="290">
        <f t="shared" ref="J136:K136" si="63">J31 * (1 - J$120)</f>
        <v>0</v>
      </c>
      <c r="K136" s="290">
        <f t="shared" si="63"/>
        <v>0</v>
      </c>
      <c r="L136" s="290">
        <f t="shared" ref="L136:M136" si="64">L31 * (1 - L$120)</f>
        <v>0</v>
      </c>
      <c r="M136" s="290">
        <f t="shared" si="64"/>
        <v>0</v>
      </c>
      <c r="N136" s="290">
        <f t="shared" ref="N136:P136" si="65">N31 * (1 - N$120)</f>
        <v>0</v>
      </c>
      <c r="O136" s="290">
        <f t="shared" si="65"/>
        <v>0</v>
      </c>
      <c r="P136" s="290">
        <f t="shared" si="65"/>
        <v>0</v>
      </c>
      <c r="Q136" s="290">
        <f t="shared" ref="Q136:S136" si="66">Q31 * (1 - Q$120)</f>
        <v>9.3077349180966398E-2</v>
      </c>
      <c r="R136" s="290">
        <f t="shared" si="66"/>
        <v>0</v>
      </c>
      <c r="S136" s="290">
        <f t="shared" si="66"/>
        <v>0</v>
      </c>
      <c r="T136" s="290">
        <f t="shared" ref="T136:U136" si="67">T31 * (1 - T$120)</f>
        <v>0</v>
      </c>
      <c r="U136" s="290">
        <f t="shared" si="67"/>
        <v>0</v>
      </c>
      <c r="V136" s="290">
        <f t="shared" ref="V136:W136" si="68">V31 * (1 - V$120)</f>
        <v>0</v>
      </c>
      <c r="W136" s="290">
        <f t="shared" si="68"/>
        <v>0</v>
      </c>
      <c r="X136" s="290">
        <f t="shared" ref="X136:Y136" si="69">X31 * (1 - X$120)</f>
        <v>0</v>
      </c>
      <c r="Y136" s="290">
        <f t="shared" si="69"/>
        <v>0</v>
      </c>
      <c r="Z136" s="272"/>
      <c r="AA136" s="272"/>
    </row>
    <row r="137" spans="4:27" x14ac:dyDescent="0.25">
      <c r="D137"/>
      <c r="F137" s="23" t="s">
        <v>376</v>
      </c>
      <c r="G137" s="23" t="s">
        <v>269</v>
      </c>
      <c r="H137" s="270"/>
      <c r="I137" s="270"/>
      <c r="J137" s="288"/>
      <c r="K137" s="288"/>
      <c r="L137" s="288"/>
      <c r="M137" s="288"/>
      <c r="N137" s="288"/>
      <c r="O137" s="288"/>
      <c r="P137" s="288"/>
      <c r="Q137" s="288"/>
      <c r="R137" s="288"/>
      <c r="S137" s="288"/>
      <c r="T137" s="288"/>
      <c r="U137" s="288"/>
      <c r="V137" s="288"/>
      <c r="W137" s="288"/>
      <c r="X137" s="288"/>
      <c r="Y137" s="288"/>
      <c r="Z137" s="272"/>
      <c r="AA137" s="272"/>
    </row>
    <row r="138" spans="4:27" x14ac:dyDescent="0.25">
      <c r="D138"/>
      <c r="F138" s="37" t="s">
        <v>377</v>
      </c>
      <c r="G138" s="37" t="s">
        <v>269</v>
      </c>
      <c r="H138" s="276"/>
      <c r="I138" s="276"/>
      <c r="J138" s="277"/>
      <c r="K138" s="277"/>
      <c r="L138" s="277"/>
      <c r="M138" s="277"/>
      <c r="N138" s="277"/>
      <c r="O138" s="277"/>
      <c r="P138" s="277"/>
      <c r="Q138" s="277"/>
      <c r="R138" s="277"/>
      <c r="S138" s="277"/>
      <c r="T138" s="277"/>
      <c r="U138" s="277"/>
      <c r="V138" s="277"/>
      <c r="W138" s="277"/>
      <c r="X138" s="277"/>
      <c r="Y138" s="277"/>
      <c r="Z138" s="272"/>
      <c r="AA138" s="272"/>
    </row>
    <row r="139" spans="4:27" x14ac:dyDescent="0.25">
      <c r="E139"/>
      <c r="J139" s="89"/>
      <c r="K139" s="89"/>
      <c r="L139" s="89"/>
      <c r="M139" s="89"/>
      <c r="N139" s="89"/>
      <c r="O139" s="89"/>
      <c r="P139" s="89"/>
      <c r="Q139" s="89"/>
      <c r="R139" s="89"/>
      <c r="S139" s="89"/>
      <c r="T139" s="89"/>
      <c r="U139" s="89"/>
      <c r="V139" s="89"/>
      <c r="W139" s="89"/>
      <c r="X139" s="89"/>
      <c r="Y139" s="89"/>
    </row>
    <row r="140" spans="4:27" x14ac:dyDescent="0.25">
      <c r="E140" s="32" t="s">
        <v>622</v>
      </c>
      <c r="J140" s="89"/>
      <c r="K140" s="89"/>
      <c r="L140" s="89"/>
      <c r="M140" s="89"/>
      <c r="N140" s="89"/>
      <c r="O140" s="89"/>
      <c r="P140" s="89"/>
      <c r="Q140" s="89"/>
      <c r="R140" s="89"/>
      <c r="S140" s="89"/>
      <c r="T140" s="89"/>
      <c r="U140" s="89"/>
      <c r="V140" s="89"/>
      <c r="W140" s="89"/>
      <c r="X140" s="89"/>
      <c r="Y140" s="89"/>
    </row>
    <row r="141" spans="4:27" x14ac:dyDescent="0.25">
      <c r="F141" s="23" t="s">
        <v>189</v>
      </c>
      <c r="G141" s="23" t="s">
        <v>269</v>
      </c>
      <c r="H141" s="270"/>
      <c r="I141" s="270"/>
      <c r="J141" s="289">
        <f t="shared" ref="J141:K141" si="70">J36 * (1 - J$112)</f>
        <v>2.4576288449393235</v>
      </c>
      <c r="K141" s="289">
        <f t="shared" si="70"/>
        <v>2.4576288449393235</v>
      </c>
      <c r="L141" s="289">
        <f t="shared" ref="L141:M141" si="71">L36 * (1 - L$112)</f>
        <v>2.5664882160327047</v>
      </c>
      <c r="M141" s="289">
        <f t="shared" si="71"/>
        <v>2.5664882160327047</v>
      </c>
      <c r="N141" s="289">
        <f t="shared" ref="N141:P141" si="72">N36 * (1 - N$112)</f>
        <v>2.2896931489429786</v>
      </c>
      <c r="O141" s="289">
        <f t="shared" si="72"/>
        <v>1.8883090246409853</v>
      </c>
      <c r="P141" s="289">
        <f t="shared" si="72"/>
        <v>1.8912187349146747</v>
      </c>
      <c r="Q141" s="289">
        <f t="shared" ref="Q141:S141" si="73">Q36 * (1 - Q$112)</f>
        <v>4.7485732291916722</v>
      </c>
      <c r="R141" s="289">
        <f t="shared" si="73"/>
        <v>-1.7618351871058915</v>
      </c>
      <c r="S141" s="289">
        <f t="shared" si="73"/>
        <v>-1.707029700956211</v>
      </c>
      <c r="T141" s="289">
        <f t="shared" ref="T141:U141" si="74">T36 * (1 - T$112)</f>
        <v>-1.7618351871058915</v>
      </c>
      <c r="U141" s="289">
        <f t="shared" si="74"/>
        <v>-1.7618351871058915</v>
      </c>
      <c r="V141" s="289">
        <f t="shared" ref="V141:W141" si="75">V36 * (1 - V$112)</f>
        <v>-1.707029700956211</v>
      </c>
      <c r="W141" s="289">
        <f t="shared" si="75"/>
        <v>-1.707029700956211</v>
      </c>
      <c r="X141" s="289">
        <f t="shared" ref="X141:Y141" si="76">X36 * (1 - X$112)</f>
        <v>-1.6699554015020159</v>
      </c>
      <c r="Y141" s="289">
        <f t="shared" si="76"/>
        <v>-1.6699554015020159</v>
      </c>
      <c r="Z141" s="272"/>
      <c r="AA141" s="272"/>
    </row>
    <row r="142" spans="4:27" x14ac:dyDescent="0.25">
      <c r="F142" t="s">
        <v>191</v>
      </c>
      <c r="G142" t="s">
        <v>269</v>
      </c>
      <c r="H142" s="272"/>
      <c r="I142" s="272"/>
      <c r="J142" s="290">
        <f t="shared" ref="J142:K142" si="77">J37 * (1 - J$112)</f>
        <v>0</v>
      </c>
      <c r="K142" s="290">
        <f t="shared" si="77"/>
        <v>0</v>
      </c>
      <c r="L142" s="290">
        <f t="shared" ref="L142:M142" si="78">L37 * (1 - L$112)</f>
        <v>0</v>
      </c>
      <c r="M142" s="290">
        <f t="shared" si="78"/>
        <v>0</v>
      </c>
      <c r="N142" s="290">
        <f t="shared" ref="N142:P142" si="79">N37 * (1 - N$112)</f>
        <v>0</v>
      </c>
      <c r="O142" s="290">
        <f t="shared" si="79"/>
        <v>0</v>
      </c>
      <c r="P142" s="290">
        <f t="shared" si="79"/>
        <v>0</v>
      </c>
      <c r="Q142" s="290">
        <f t="shared" ref="Q142:S142" si="80">Q37 * (1 - Q$112)</f>
        <v>0</v>
      </c>
      <c r="R142" s="290">
        <f t="shared" si="80"/>
        <v>0</v>
      </c>
      <c r="S142" s="290">
        <f t="shared" si="80"/>
        <v>0</v>
      </c>
      <c r="T142" s="290">
        <f t="shared" ref="T142:U142" si="81">T37 * (1 - T$112)</f>
        <v>0</v>
      </c>
      <c r="U142" s="290">
        <f t="shared" si="81"/>
        <v>0</v>
      </c>
      <c r="V142" s="290">
        <f t="shared" ref="V142:W142" si="82">V37 * (1 - V$112)</f>
        <v>0</v>
      </c>
      <c r="W142" s="290">
        <f t="shared" si="82"/>
        <v>0</v>
      </c>
      <c r="X142" s="290">
        <f t="shared" ref="X142:Y142" si="83">X37 * (1 - X$112)</f>
        <v>0</v>
      </c>
      <c r="Y142" s="290">
        <f t="shared" si="83"/>
        <v>0</v>
      </c>
      <c r="Z142" s="272"/>
      <c r="AA142" s="272"/>
    </row>
    <row r="143" spans="4:27" x14ac:dyDescent="0.25">
      <c r="F143" t="s">
        <v>192</v>
      </c>
      <c r="G143" t="s">
        <v>269</v>
      </c>
      <c r="H143" s="272"/>
      <c r="I143" s="272"/>
      <c r="J143" s="290">
        <f t="shared" ref="J143:K143" si="84">J38 * (1 - J$113)</f>
        <v>0</v>
      </c>
      <c r="K143" s="290">
        <f t="shared" si="84"/>
        <v>0</v>
      </c>
      <c r="L143" s="290">
        <f t="shared" ref="L143:M143" si="85">L38 * (1 - L$113)</f>
        <v>0</v>
      </c>
      <c r="M143" s="290">
        <f t="shared" si="85"/>
        <v>0</v>
      </c>
      <c r="N143" s="290">
        <f t="shared" ref="N143:P143" si="86">N38 * (1 - N$113)</f>
        <v>0</v>
      </c>
      <c r="O143" s="290">
        <f t="shared" si="86"/>
        <v>0</v>
      </c>
      <c r="P143" s="290">
        <f t="shared" si="86"/>
        <v>0</v>
      </c>
      <c r="Q143" s="290">
        <f t="shared" ref="Q143:S143" si="87">Q38 * (1 - Q$113)</f>
        <v>0</v>
      </c>
      <c r="R143" s="290">
        <f t="shared" si="87"/>
        <v>0</v>
      </c>
      <c r="S143" s="290">
        <f t="shared" si="87"/>
        <v>0</v>
      </c>
      <c r="T143" s="290">
        <f t="shared" ref="T143:U143" si="88">T38 * (1 - T$113)</f>
        <v>0</v>
      </c>
      <c r="U143" s="290">
        <f t="shared" si="88"/>
        <v>0</v>
      </c>
      <c r="V143" s="290">
        <f t="shared" ref="V143:W143" si="89">V38 * (1 - V$113)</f>
        <v>0</v>
      </c>
      <c r="W143" s="290">
        <f t="shared" si="89"/>
        <v>0</v>
      </c>
      <c r="X143" s="290">
        <f t="shared" ref="X143:Y143" si="90">X38 * (1 - X$113)</f>
        <v>0</v>
      </c>
      <c r="Y143" s="290">
        <f t="shared" si="90"/>
        <v>0</v>
      </c>
      <c r="Z143" s="272"/>
      <c r="AA143" s="272"/>
    </row>
    <row r="144" spans="4:27" x14ac:dyDescent="0.25">
      <c r="F144" t="s">
        <v>193</v>
      </c>
      <c r="G144" t="s">
        <v>269</v>
      </c>
      <c r="H144" s="272"/>
      <c r="I144" s="272"/>
      <c r="J144" s="290">
        <f t="shared" ref="J144:K144" si="91">J39 * (1 - J$114)</f>
        <v>0</v>
      </c>
      <c r="K144" s="290">
        <f t="shared" si="91"/>
        <v>0</v>
      </c>
      <c r="L144" s="290">
        <f t="shared" ref="L144:M144" si="92">L39 * (1 - L$114)</f>
        <v>0</v>
      </c>
      <c r="M144" s="290">
        <f t="shared" si="92"/>
        <v>0</v>
      </c>
      <c r="N144" s="290">
        <f t="shared" ref="N144:P144" si="93">N39 * (1 - N$114)</f>
        <v>0</v>
      </c>
      <c r="O144" s="290">
        <f t="shared" si="93"/>
        <v>0</v>
      </c>
      <c r="P144" s="290">
        <f t="shared" si="93"/>
        <v>0</v>
      </c>
      <c r="Q144" s="290">
        <f t="shared" ref="Q144:S144" si="94">Q39 * (1 - Q$114)</f>
        <v>0</v>
      </c>
      <c r="R144" s="290">
        <f t="shared" si="94"/>
        <v>0</v>
      </c>
      <c r="S144" s="290">
        <f t="shared" si="94"/>
        <v>0</v>
      </c>
      <c r="T144" s="290">
        <f t="shared" ref="T144:U144" si="95">T39 * (1 - T$114)</f>
        <v>0</v>
      </c>
      <c r="U144" s="290">
        <f t="shared" si="95"/>
        <v>0</v>
      </c>
      <c r="V144" s="290">
        <f t="shared" ref="V144:W144" si="96">V39 * (1 - V$114)</f>
        <v>0</v>
      </c>
      <c r="W144" s="290">
        <f t="shared" si="96"/>
        <v>0</v>
      </c>
      <c r="X144" s="290">
        <f t="shared" ref="X144:Y144" si="97">X39 * (1 - X$114)</f>
        <v>0</v>
      </c>
      <c r="Y144" s="290">
        <f t="shared" si="97"/>
        <v>0</v>
      </c>
      <c r="Z144" s="272"/>
      <c r="AA144" s="272"/>
    </row>
    <row r="145" spans="3:27" x14ac:dyDescent="0.25">
      <c r="F145" t="s">
        <v>194</v>
      </c>
      <c r="G145" t="s">
        <v>269</v>
      </c>
      <c r="H145" s="272"/>
      <c r="I145" s="272"/>
      <c r="J145" s="290">
        <f t="shared" ref="J145:K145" si="98">J40 * (1 - J$115)</f>
        <v>0.63523503250377211</v>
      </c>
      <c r="K145" s="290">
        <f t="shared" si="98"/>
        <v>0.63523503250377211</v>
      </c>
      <c r="L145" s="290">
        <f t="shared" ref="L145:M145" si="99">L40 * (1 - L$115)</f>
        <v>0.66337243261495593</v>
      </c>
      <c r="M145" s="290">
        <f t="shared" si="99"/>
        <v>0.66337243261495593</v>
      </c>
      <c r="N145" s="290">
        <f t="shared" ref="N145:P145" si="100">N40 * (1 - N$115)</f>
        <v>0.59182789333202501</v>
      </c>
      <c r="O145" s="290">
        <f t="shared" si="100"/>
        <v>0.48808022705096377</v>
      </c>
      <c r="P145" s="290">
        <f t="shared" si="100"/>
        <v>0.39106585097878832</v>
      </c>
      <c r="Q145" s="290">
        <f t="shared" ref="Q145:S145" si="101">Q40 * (1 - Q$115)</f>
        <v>1.0952763562244678</v>
      </c>
      <c r="R145" s="290">
        <f t="shared" si="101"/>
        <v>-0.45538993190614668</v>
      </c>
      <c r="S145" s="290">
        <f t="shared" si="101"/>
        <v>-0.44122409687887404</v>
      </c>
      <c r="T145" s="290">
        <f t="shared" ref="T145:U145" si="102">T40 * (1 - T$115)</f>
        <v>-0.45538993190614668</v>
      </c>
      <c r="U145" s="290">
        <f t="shared" si="102"/>
        <v>-0.45538993190614668</v>
      </c>
      <c r="V145" s="290">
        <f t="shared" ref="V145:W145" si="103">V40 * (1 - V$115)</f>
        <v>-0.44122409687887404</v>
      </c>
      <c r="W145" s="290">
        <f t="shared" si="103"/>
        <v>-0.44122409687887404</v>
      </c>
      <c r="X145" s="290">
        <f t="shared" ref="X145:Y145" si="104">X40 * (1 - X$115)</f>
        <v>-0.43164132612513084</v>
      </c>
      <c r="Y145" s="290">
        <f t="shared" si="104"/>
        <v>-0.43164132612513084</v>
      </c>
      <c r="Z145" s="272"/>
      <c r="AA145" s="272"/>
    </row>
    <row r="146" spans="3:27" x14ac:dyDescent="0.25">
      <c r="F146" t="s">
        <v>195</v>
      </c>
      <c r="G146" t="s">
        <v>269</v>
      </c>
      <c r="H146" s="272"/>
      <c r="I146" s="272"/>
      <c r="J146" s="290">
        <f t="shared" ref="J146:K146" si="105">J41 * (1 - J$116)</f>
        <v>0.57475831041124126</v>
      </c>
      <c r="K146" s="290">
        <f t="shared" si="105"/>
        <v>0.57475831041124126</v>
      </c>
      <c r="L146" s="290">
        <f t="shared" ref="L146:M146" si="106">L41 * (1 - L$116)</f>
        <v>0.60021692607279642</v>
      </c>
      <c r="M146" s="290">
        <f t="shared" si="106"/>
        <v>0.60021692607279642</v>
      </c>
      <c r="N146" s="290">
        <f t="shared" ref="N146:P146" si="107">N41 * (1 - N$116)</f>
        <v>0.53548369126468021</v>
      </c>
      <c r="O146" s="290">
        <f t="shared" si="107"/>
        <v>0.4416131861293105</v>
      </c>
      <c r="P146" s="290">
        <f t="shared" si="107"/>
        <v>0</v>
      </c>
      <c r="Q146" s="290">
        <f t="shared" ref="Q146:S146" si="108">Q41 * (1 - Q$116)</f>
        <v>0.99100200040245379</v>
      </c>
      <c r="R146" s="290">
        <f t="shared" si="108"/>
        <v>-0.4120351278628715</v>
      </c>
      <c r="S146" s="290">
        <f t="shared" si="108"/>
        <v>-0.39921793266860095</v>
      </c>
      <c r="T146" s="290">
        <f t="shared" ref="T146:U146" si="109">T41 * (1 - T$116)</f>
        <v>-0.4120351278628715</v>
      </c>
      <c r="U146" s="290">
        <f t="shared" si="109"/>
        <v>-0.4120351278628715</v>
      </c>
      <c r="V146" s="290">
        <f t="shared" ref="V146:W146" si="110">V41 * (1 - V$116)</f>
        <v>-0.39921793266860095</v>
      </c>
      <c r="W146" s="290">
        <f t="shared" si="110"/>
        <v>-0.39921793266860095</v>
      </c>
      <c r="X146" s="290">
        <f t="shared" ref="X146:Y146" si="111">X41 * (1 - X$116)</f>
        <v>-0.39054747709600623</v>
      </c>
      <c r="Y146" s="290">
        <f t="shared" si="111"/>
        <v>-0.39054747709600623</v>
      </c>
      <c r="Z146" s="272"/>
      <c r="AA146" s="272"/>
    </row>
    <row r="147" spans="3:27" x14ac:dyDescent="0.25">
      <c r="F147" t="s">
        <v>196</v>
      </c>
      <c r="G147" t="s">
        <v>269</v>
      </c>
      <c r="H147" s="272"/>
      <c r="I147" s="272"/>
      <c r="J147" s="290">
        <f t="shared" ref="J147:K147" si="112">J42 * (1 - J$117)</f>
        <v>0</v>
      </c>
      <c r="K147" s="290">
        <f t="shared" si="112"/>
        <v>0</v>
      </c>
      <c r="L147" s="290">
        <f t="shared" ref="L147:M147" si="113">L42 * (1 - L$117)</f>
        <v>0</v>
      </c>
      <c r="M147" s="290">
        <f t="shared" si="113"/>
        <v>0</v>
      </c>
      <c r="N147" s="290">
        <f t="shared" ref="N147:P147" si="114">N42 * (1 - N$117)</f>
        <v>0</v>
      </c>
      <c r="O147" s="290">
        <f t="shared" si="114"/>
        <v>0</v>
      </c>
      <c r="P147" s="290">
        <f t="shared" si="114"/>
        <v>0</v>
      </c>
      <c r="Q147" s="290">
        <f t="shared" ref="Q147:S147" si="115">Q42 * (1 - Q$117)</f>
        <v>0</v>
      </c>
      <c r="R147" s="290">
        <f t="shared" si="115"/>
        <v>0</v>
      </c>
      <c r="S147" s="290">
        <f t="shared" si="115"/>
        <v>0</v>
      </c>
      <c r="T147" s="290">
        <f t="shared" ref="T147:U147" si="116">T42 * (1 - T$117)</f>
        <v>0</v>
      </c>
      <c r="U147" s="290">
        <f t="shared" si="116"/>
        <v>0</v>
      </c>
      <c r="V147" s="290">
        <f t="shared" ref="V147:W147" si="117">V42 * (1 - V$117)</f>
        <v>0</v>
      </c>
      <c r="W147" s="290">
        <f t="shared" si="117"/>
        <v>0</v>
      </c>
      <c r="X147" s="290">
        <f t="shared" ref="X147:Y147" si="118">X42 * (1 - X$117)</f>
        <v>0</v>
      </c>
      <c r="Y147" s="290">
        <f t="shared" si="118"/>
        <v>0</v>
      </c>
      <c r="Z147" s="272"/>
      <c r="AA147" s="272"/>
    </row>
    <row r="148" spans="3:27" x14ac:dyDescent="0.25">
      <c r="F148" t="s">
        <v>197</v>
      </c>
      <c r="G148" t="s">
        <v>269</v>
      </c>
      <c r="H148" s="272"/>
      <c r="I148" s="272"/>
      <c r="J148" s="290">
        <f t="shared" ref="J148:K148" si="119">J43 * (1 - J$118)</f>
        <v>2.3750475104103552</v>
      </c>
      <c r="K148" s="290">
        <f t="shared" si="119"/>
        <v>2.3750475104103552</v>
      </c>
      <c r="L148" s="290">
        <f t="shared" ref="L148:M148" si="120">L43 * (1 - L$118)</f>
        <v>2.4802489849261526</v>
      </c>
      <c r="M148" s="290">
        <f t="shared" si="120"/>
        <v>2.4802489849261526</v>
      </c>
      <c r="N148" s="290">
        <f t="shared" ref="N148:P148" si="121">N43 * (1 - N$118)</f>
        <v>1.7702038366610831</v>
      </c>
      <c r="O148" s="290">
        <f t="shared" si="121"/>
        <v>0</v>
      </c>
      <c r="P148" s="290">
        <f t="shared" si="121"/>
        <v>0</v>
      </c>
      <c r="Q148" s="290">
        <f t="shared" ref="Q148:S148" si="122">Q43 * (1 - Q$118)</f>
        <v>4.0950722960116348</v>
      </c>
      <c r="R148" s="290">
        <f t="shared" si="122"/>
        <v>-1.7026339365708902</v>
      </c>
      <c r="S148" s="290">
        <f t="shared" si="122"/>
        <v>-1.6496700263756383</v>
      </c>
      <c r="T148" s="290">
        <f t="shared" ref="T148:U148" si="123">T43 * (1 - T$118)</f>
        <v>-1.7026339365708902</v>
      </c>
      <c r="U148" s="290">
        <f t="shared" si="123"/>
        <v>-1.7026339365708902</v>
      </c>
      <c r="V148" s="290">
        <f t="shared" ref="V148:W148" si="124">V43 * (1 - V$118)</f>
        <v>-1.6496700263756383</v>
      </c>
      <c r="W148" s="290">
        <f t="shared" si="124"/>
        <v>-1.6496700263756383</v>
      </c>
      <c r="X148" s="290">
        <f t="shared" ref="X148:Y148" si="125">X43 * (1 - X$118)</f>
        <v>0</v>
      </c>
      <c r="Y148" s="290">
        <f t="shared" si="125"/>
        <v>0</v>
      </c>
      <c r="Z148" s="272"/>
      <c r="AA148" s="272"/>
    </row>
    <row r="149" spans="3:27" x14ac:dyDescent="0.25">
      <c r="F149" t="s">
        <v>198</v>
      </c>
      <c r="G149" t="s">
        <v>269</v>
      </c>
      <c r="H149" s="272"/>
      <c r="I149" s="272"/>
      <c r="J149" s="290">
        <f t="shared" ref="J149:K149" si="126">J44 * (1 - J$119)</f>
        <v>0.57512147453429618</v>
      </c>
      <c r="K149" s="290">
        <f t="shared" si="126"/>
        <v>0.57512147453429618</v>
      </c>
      <c r="L149" s="290">
        <f t="shared" ref="L149:M149" si="127">L44 * (1 - L$119)</f>
        <v>0.60059617635878881</v>
      </c>
      <c r="M149" s="290">
        <f t="shared" si="127"/>
        <v>0.60059617635878881</v>
      </c>
      <c r="N149" s="290">
        <f t="shared" ref="N149:P149" si="128">N44 * (1 - N$119)</f>
        <v>0</v>
      </c>
      <c r="O149" s="290">
        <f t="shared" si="128"/>
        <v>0</v>
      </c>
      <c r="P149" s="290">
        <f t="shared" si="128"/>
        <v>0</v>
      </c>
      <c r="Q149" s="290">
        <f t="shared" ref="Q149:S149" si="129">Q44 * (1 - Q$119)</f>
        <v>0.99162817033493267</v>
      </c>
      <c r="R149" s="290">
        <f t="shared" si="129"/>
        <v>-0.41229547446972797</v>
      </c>
      <c r="S149" s="290">
        <f t="shared" si="129"/>
        <v>0</v>
      </c>
      <c r="T149" s="290">
        <f t="shared" ref="T149:U149" si="130">T44 * (1 - T$119)</f>
        <v>-0.41229547446972797</v>
      </c>
      <c r="U149" s="290">
        <f t="shared" si="130"/>
        <v>-0.41229547446972797</v>
      </c>
      <c r="V149" s="290">
        <f t="shared" ref="V149:W149" si="131">V44 * (1 - V$119)</f>
        <v>0</v>
      </c>
      <c r="W149" s="290">
        <f t="shared" si="131"/>
        <v>0</v>
      </c>
      <c r="X149" s="290">
        <f t="shared" ref="X149:Y149" si="132">X44 * (1 - X$119)</f>
        <v>0</v>
      </c>
      <c r="Y149" s="290">
        <f t="shared" si="132"/>
        <v>0</v>
      </c>
      <c r="Z149" s="272"/>
      <c r="AA149" s="272"/>
    </row>
    <row r="150" spans="3:27" x14ac:dyDescent="0.25">
      <c r="F150" t="s">
        <v>199</v>
      </c>
      <c r="G150" t="s">
        <v>269</v>
      </c>
      <c r="H150" s="272"/>
      <c r="I150" s="272"/>
      <c r="J150" s="290">
        <f t="shared" ref="J150:K150" si="133">J45 * (1 - J$120)</f>
        <v>0</v>
      </c>
      <c r="K150" s="290">
        <f t="shared" si="133"/>
        <v>0</v>
      </c>
      <c r="L150" s="290">
        <f t="shared" ref="L150:M150" si="134">L45 * (1 - L$120)</f>
        <v>0</v>
      </c>
      <c r="M150" s="290">
        <f t="shared" si="134"/>
        <v>0</v>
      </c>
      <c r="N150" s="290">
        <f t="shared" ref="N150:P150" si="135">N45 * (1 - N$120)</f>
        <v>0</v>
      </c>
      <c r="O150" s="290">
        <f t="shared" si="135"/>
        <v>0</v>
      </c>
      <c r="P150" s="290">
        <f t="shared" si="135"/>
        <v>0</v>
      </c>
      <c r="Q150" s="290">
        <f t="shared" ref="Q150:S150" si="136">Q45 * (1 - Q$120)</f>
        <v>2.3539358588337493</v>
      </c>
      <c r="R150" s="290">
        <f t="shared" si="136"/>
        <v>0</v>
      </c>
      <c r="S150" s="290">
        <f t="shared" si="136"/>
        <v>0</v>
      </c>
      <c r="T150" s="290">
        <f t="shared" ref="T150:U150" si="137">T45 * (1 - T$120)</f>
        <v>0</v>
      </c>
      <c r="U150" s="290">
        <f t="shared" si="137"/>
        <v>0</v>
      </c>
      <c r="V150" s="290">
        <f t="shared" ref="V150:W150" si="138">V45 * (1 - V$120)</f>
        <v>0</v>
      </c>
      <c r="W150" s="290">
        <f t="shared" si="138"/>
        <v>0</v>
      </c>
      <c r="X150" s="290">
        <f t="shared" ref="X150:Y150" si="139">X45 * (1 - X$120)</f>
        <v>0</v>
      </c>
      <c r="Y150" s="290">
        <f t="shared" si="139"/>
        <v>0</v>
      </c>
      <c r="Z150" s="272"/>
      <c r="AA150" s="272"/>
    </row>
    <row r="151" spans="3:27" x14ac:dyDescent="0.25">
      <c r="D151"/>
      <c r="F151" s="23" t="s">
        <v>376</v>
      </c>
      <c r="G151" s="23" t="s">
        <v>269</v>
      </c>
      <c r="H151" s="270"/>
      <c r="I151" s="270" t="s">
        <v>154</v>
      </c>
      <c r="J151" s="288"/>
      <c r="K151" s="288"/>
      <c r="L151" s="288"/>
      <c r="M151" s="288"/>
      <c r="N151" s="288"/>
      <c r="O151" s="288"/>
      <c r="P151" s="288"/>
      <c r="Q151" s="289">
        <f t="shared" ref="Q151" si="140">Q46</f>
        <v>2.1262931523237087</v>
      </c>
      <c r="R151" s="288"/>
      <c r="S151" s="288"/>
      <c r="T151" s="288"/>
      <c r="U151" s="288"/>
      <c r="V151" s="288"/>
      <c r="W151" s="288"/>
      <c r="X151" s="288"/>
      <c r="Y151" s="288"/>
      <c r="Z151" s="272"/>
      <c r="AA151" s="272" t="s">
        <v>654</v>
      </c>
    </row>
    <row r="152" spans="3:27" x14ac:dyDescent="0.25">
      <c r="D152"/>
      <c r="F152" s="37" t="s">
        <v>377</v>
      </c>
      <c r="G152" s="37" t="s">
        <v>269</v>
      </c>
      <c r="H152" s="276"/>
      <c r="I152" s="276"/>
      <c r="J152" s="277"/>
      <c r="K152" s="277"/>
      <c r="L152" s="277"/>
      <c r="M152" s="277"/>
      <c r="N152" s="277"/>
      <c r="O152" s="277"/>
      <c r="P152" s="277"/>
      <c r="Q152" s="277"/>
      <c r="R152" s="277"/>
      <c r="S152" s="277"/>
      <c r="T152" s="277"/>
      <c r="U152" s="277"/>
      <c r="V152" s="277"/>
      <c r="W152" s="277"/>
      <c r="X152" s="277"/>
      <c r="Y152" s="277"/>
      <c r="Z152" s="272"/>
      <c r="AA152" s="272"/>
    </row>
    <row r="153" spans="3:27" x14ac:dyDescent="0.25">
      <c r="E153"/>
      <c r="J153" s="89"/>
      <c r="K153" s="89"/>
      <c r="L153" s="89"/>
      <c r="M153" s="89"/>
      <c r="N153" s="89"/>
      <c r="O153" s="89"/>
      <c r="P153" s="89"/>
      <c r="Q153" s="89"/>
      <c r="R153" s="89"/>
      <c r="S153" s="89"/>
      <c r="T153" s="89"/>
      <c r="U153" s="89"/>
      <c r="V153" s="89"/>
      <c r="W153" s="89"/>
      <c r="X153" s="89"/>
      <c r="Y153" s="89"/>
    </row>
    <row r="154" spans="3:27" x14ac:dyDescent="0.25">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25">
      <c r="C155" s="32"/>
      <c r="D155" s="32"/>
      <c r="E155"/>
      <c r="I155" t="s">
        <v>154</v>
      </c>
      <c r="J155" s="89"/>
      <c r="K155" s="89"/>
      <c r="L155" s="89"/>
      <c r="M155" s="89"/>
      <c r="N155" s="89"/>
      <c r="O155" s="89"/>
      <c r="P155" s="89"/>
      <c r="Q155" s="89"/>
      <c r="R155" s="89"/>
      <c r="S155" s="89"/>
      <c r="T155" s="89"/>
      <c r="U155" s="89"/>
      <c r="V155" s="89"/>
      <c r="W155" s="89"/>
      <c r="X155" s="89"/>
      <c r="Y155" s="89"/>
      <c r="AA155" t="s">
        <v>656</v>
      </c>
    </row>
    <row r="156" spans="3:27" x14ac:dyDescent="0.25">
      <c r="E156" s="32" t="s">
        <v>621</v>
      </c>
      <c r="J156" s="89"/>
      <c r="K156" s="89"/>
      <c r="L156" s="89"/>
      <c r="M156" s="89"/>
      <c r="N156" s="89"/>
      <c r="O156" s="89"/>
      <c r="P156" s="89"/>
      <c r="Q156" s="89"/>
      <c r="R156" s="89"/>
      <c r="S156" s="89"/>
      <c r="T156" s="89"/>
      <c r="U156" s="89"/>
      <c r="V156" s="89"/>
      <c r="W156" s="89"/>
      <c r="X156" s="89"/>
      <c r="Y156" s="89"/>
    </row>
    <row r="157" spans="3:27" x14ac:dyDescent="0.25">
      <c r="F157" s="23" t="s">
        <v>189</v>
      </c>
      <c r="G157" s="23" t="s">
        <v>269</v>
      </c>
      <c r="H157" s="270"/>
      <c r="I157" s="270"/>
      <c r="J157" s="289">
        <f t="shared" ref="J157:K157" si="141">J52 * (1 - J$112)</f>
        <v>0</v>
      </c>
      <c r="K157" s="289">
        <f t="shared" si="141"/>
        <v>0</v>
      </c>
      <c r="L157" s="289">
        <f t="shared" ref="L157:M157" si="142">L52 * (1 - L$112)</f>
        <v>0</v>
      </c>
      <c r="M157" s="289">
        <f t="shared" si="142"/>
        <v>0</v>
      </c>
      <c r="N157" s="289">
        <f t="shared" ref="N157:P157" si="143">N52 * (1 - N$112)</f>
        <v>0</v>
      </c>
      <c r="O157" s="289">
        <f t="shared" si="143"/>
        <v>0</v>
      </c>
      <c r="P157" s="289">
        <f t="shared" si="143"/>
        <v>0</v>
      </c>
      <c r="Q157" s="289">
        <f t="shared" ref="Q157:S157" si="144">Q52 * (1 - Q$112)</f>
        <v>0</v>
      </c>
      <c r="R157" s="289">
        <f t="shared" si="144"/>
        <v>0</v>
      </c>
      <c r="S157" s="289">
        <f t="shared" si="144"/>
        <v>0</v>
      </c>
      <c r="T157" s="289">
        <f t="shared" ref="T157:U157" si="145">T52 * (1 - T$112)</f>
        <v>0</v>
      </c>
      <c r="U157" s="289">
        <f t="shared" si="145"/>
        <v>0</v>
      </c>
      <c r="V157" s="289">
        <f t="shared" ref="V157:W157" si="146">V52 * (1 - V$112)</f>
        <v>0</v>
      </c>
      <c r="W157" s="289">
        <f t="shared" si="146"/>
        <v>0</v>
      </c>
      <c r="X157" s="289">
        <f t="shared" ref="X157:Y157" si="147">X52 * (1 - X$112)</f>
        <v>0</v>
      </c>
      <c r="Y157" s="289">
        <f t="shared" si="147"/>
        <v>0</v>
      </c>
      <c r="Z157" s="272"/>
      <c r="AA157" s="272"/>
    </row>
    <row r="158" spans="3:27" x14ac:dyDescent="0.25">
      <c r="F158" t="s">
        <v>191</v>
      </c>
      <c r="G158" t="s">
        <v>269</v>
      </c>
      <c r="H158" s="272"/>
      <c r="I158" s="272"/>
      <c r="J158" s="290">
        <f t="shared" ref="J158:K158" si="148">J53 * (1 - J$112)</f>
        <v>0</v>
      </c>
      <c r="K158" s="290">
        <f t="shared" si="148"/>
        <v>0</v>
      </c>
      <c r="L158" s="290">
        <f t="shared" ref="L158:M158" si="149">L53 * (1 - L$112)</f>
        <v>0</v>
      </c>
      <c r="M158" s="290">
        <f t="shared" si="149"/>
        <v>0</v>
      </c>
      <c r="N158" s="290">
        <f t="shared" ref="N158:P158" si="150">N53 * (1 - N$112)</f>
        <v>0</v>
      </c>
      <c r="O158" s="290">
        <f t="shared" si="150"/>
        <v>0</v>
      </c>
      <c r="P158" s="290">
        <f t="shared" si="150"/>
        <v>0</v>
      </c>
      <c r="Q158" s="290">
        <f t="shared" ref="Q158:S158" si="151">Q53 * (1 - Q$112)</f>
        <v>0</v>
      </c>
      <c r="R158" s="290">
        <f t="shared" si="151"/>
        <v>0</v>
      </c>
      <c r="S158" s="290">
        <f t="shared" si="151"/>
        <v>0</v>
      </c>
      <c r="T158" s="290">
        <f t="shared" ref="T158:U158" si="152">T53 * (1 - T$112)</f>
        <v>0</v>
      </c>
      <c r="U158" s="290">
        <f t="shared" si="152"/>
        <v>0</v>
      </c>
      <c r="V158" s="290">
        <f t="shared" ref="V158:W158" si="153">V53 * (1 - V$112)</f>
        <v>0</v>
      </c>
      <c r="W158" s="290">
        <f t="shared" si="153"/>
        <v>0</v>
      </c>
      <c r="X158" s="290">
        <f t="shared" ref="X158:Y158" si="154">X53 * (1 - X$112)</f>
        <v>0</v>
      </c>
      <c r="Y158" s="290">
        <f t="shared" si="154"/>
        <v>0</v>
      </c>
      <c r="Z158" s="272"/>
      <c r="AA158" s="272"/>
    </row>
    <row r="159" spans="3:27" x14ac:dyDescent="0.25">
      <c r="F159" t="s">
        <v>192</v>
      </c>
      <c r="G159" t="s">
        <v>269</v>
      </c>
      <c r="H159" s="272"/>
      <c r="I159" s="272"/>
      <c r="J159" s="290">
        <f t="shared" ref="J159:K159" si="155">J54 * (1 - J$113)</f>
        <v>0</v>
      </c>
      <c r="K159" s="290">
        <f t="shared" si="155"/>
        <v>0</v>
      </c>
      <c r="L159" s="290">
        <f t="shared" ref="L159:M159" si="156">L54 * (1 - L$113)</f>
        <v>0</v>
      </c>
      <c r="M159" s="290">
        <f t="shared" si="156"/>
        <v>0</v>
      </c>
      <c r="N159" s="290">
        <f t="shared" ref="N159:P159" si="157">N54 * (1 - N$113)</f>
        <v>0</v>
      </c>
      <c r="O159" s="290">
        <f t="shared" si="157"/>
        <v>0</v>
      </c>
      <c r="P159" s="290">
        <f t="shared" si="157"/>
        <v>0</v>
      </c>
      <c r="Q159" s="290">
        <f t="shared" ref="Q159:S159" si="158">Q54 * (1 - Q$113)</f>
        <v>0</v>
      </c>
      <c r="R159" s="290">
        <f t="shared" si="158"/>
        <v>0</v>
      </c>
      <c r="S159" s="290">
        <f t="shared" si="158"/>
        <v>0</v>
      </c>
      <c r="T159" s="290">
        <f t="shared" ref="T159:U159" si="159">T54 * (1 - T$113)</f>
        <v>0</v>
      </c>
      <c r="U159" s="290">
        <f t="shared" si="159"/>
        <v>0</v>
      </c>
      <c r="V159" s="290">
        <f t="shared" ref="V159:W159" si="160">V54 * (1 - V$113)</f>
        <v>0</v>
      </c>
      <c r="W159" s="290">
        <f t="shared" si="160"/>
        <v>0</v>
      </c>
      <c r="X159" s="290">
        <f t="shared" ref="X159:Y159" si="161">X54 * (1 - X$113)</f>
        <v>0</v>
      </c>
      <c r="Y159" s="290">
        <f t="shared" si="161"/>
        <v>0</v>
      </c>
      <c r="Z159" s="272"/>
      <c r="AA159" s="272"/>
    </row>
    <row r="160" spans="3:27" x14ac:dyDescent="0.25">
      <c r="F160" t="s">
        <v>193</v>
      </c>
      <c r="G160" t="s">
        <v>269</v>
      </c>
      <c r="H160" s="272"/>
      <c r="I160" s="272"/>
      <c r="J160" s="290">
        <f t="shared" ref="J160:K160" si="162">J55 * (1 - J$114)</f>
        <v>0</v>
      </c>
      <c r="K160" s="290">
        <f t="shared" si="162"/>
        <v>0</v>
      </c>
      <c r="L160" s="290">
        <f t="shared" ref="L160:M160" si="163">L55 * (1 - L$114)</f>
        <v>0</v>
      </c>
      <c r="M160" s="290">
        <f t="shared" si="163"/>
        <v>0</v>
      </c>
      <c r="N160" s="290">
        <f t="shared" ref="N160:P160" si="164">N55 * (1 - N$114)</f>
        <v>0</v>
      </c>
      <c r="O160" s="290">
        <f t="shared" si="164"/>
        <v>0</v>
      </c>
      <c r="P160" s="290">
        <f t="shared" si="164"/>
        <v>0</v>
      </c>
      <c r="Q160" s="290">
        <f t="shared" ref="Q160:S160" si="165">Q55 * (1 - Q$114)</f>
        <v>0</v>
      </c>
      <c r="R160" s="290">
        <f t="shared" si="165"/>
        <v>0</v>
      </c>
      <c r="S160" s="290">
        <f t="shared" si="165"/>
        <v>0</v>
      </c>
      <c r="T160" s="290">
        <f t="shared" ref="T160:U160" si="166">T55 * (1 - T$114)</f>
        <v>0</v>
      </c>
      <c r="U160" s="290">
        <f t="shared" si="166"/>
        <v>0</v>
      </c>
      <c r="V160" s="290">
        <f t="shared" ref="V160:W160" si="167">V55 * (1 - V$114)</f>
        <v>0</v>
      </c>
      <c r="W160" s="290">
        <f t="shared" si="167"/>
        <v>0</v>
      </c>
      <c r="X160" s="290">
        <f t="shared" ref="X160:Y160" si="168">X55 * (1 - X$114)</f>
        <v>0</v>
      </c>
      <c r="Y160" s="290">
        <f t="shared" si="168"/>
        <v>0</v>
      </c>
      <c r="Z160" s="272"/>
      <c r="AA160" s="272"/>
    </row>
    <row r="161" spans="4:27" x14ac:dyDescent="0.25">
      <c r="F161" t="s">
        <v>194</v>
      </c>
      <c r="G161" t="s">
        <v>269</v>
      </c>
      <c r="H161" s="272"/>
      <c r="I161" s="272"/>
      <c r="J161" s="290">
        <f t="shared" ref="J161:K161" si="169">J56 * (1 - J$115)</f>
        <v>0.12072745659257347</v>
      </c>
      <c r="K161" s="290">
        <f t="shared" si="169"/>
        <v>0.12072745659257347</v>
      </c>
      <c r="L161" s="290">
        <f t="shared" ref="L161:M161" si="170">L56 * (1 - L$115)</f>
        <v>0.12607501549083155</v>
      </c>
      <c r="M161" s="290">
        <f t="shared" si="170"/>
        <v>0.12607501549083155</v>
      </c>
      <c r="N161" s="290">
        <f t="shared" ref="N161:P161" si="171">N56 * (1 - N$115)</f>
        <v>0.11247785881848696</v>
      </c>
      <c r="O161" s="290">
        <f t="shared" si="171"/>
        <v>9.2760445205198452E-2</v>
      </c>
      <c r="P161" s="290">
        <f t="shared" si="171"/>
        <v>7.3928933454697462E-2</v>
      </c>
      <c r="Q161" s="290">
        <f t="shared" ref="Q161:S161" si="172">Q56 * (1 - Q$115)</f>
        <v>0.11483891619607868</v>
      </c>
      <c r="R161" s="290">
        <f t="shared" si="172"/>
        <v>-8.6547601161413967E-2</v>
      </c>
      <c r="S161" s="290">
        <f t="shared" si="172"/>
        <v>-8.3855361052092764E-2</v>
      </c>
      <c r="T161" s="290">
        <f t="shared" ref="T161:U161" si="173">T56 * (1 - T$115)</f>
        <v>-8.6547601161413967E-2</v>
      </c>
      <c r="U161" s="290">
        <f t="shared" si="173"/>
        <v>-8.6547601161413967E-2</v>
      </c>
      <c r="V161" s="290">
        <f t="shared" ref="V161:W161" si="174">V56 * (1 - V$115)</f>
        <v>-8.3855361052092764E-2</v>
      </c>
      <c r="W161" s="290">
        <f t="shared" si="174"/>
        <v>-8.3855361052092764E-2</v>
      </c>
      <c r="X161" s="290">
        <f t="shared" ref="X161:Y161" si="175">X56 * (1 - X$115)</f>
        <v>-8.1599512704915347E-2</v>
      </c>
      <c r="Y161" s="290">
        <f t="shared" si="175"/>
        <v>-8.1599512704915347E-2</v>
      </c>
      <c r="Z161" s="272"/>
      <c r="AA161" s="272"/>
    </row>
    <row r="162" spans="4:27" x14ac:dyDescent="0.25">
      <c r="F162" t="s">
        <v>195</v>
      </c>
      <c r="G162" t="s">
        <v>269</v>
      </c>
      <c r="H162" s="272"/>
      <c r="I162" s="272"/>
      <c r="J162" s="290">
        <f t="shared" ref="J162:K162" si="176">J57 * (1 - J$116)</f>
        <v>0.10948355508393108</v>
      </c>
      <c r="K162" s="290">
        <f t="shared" si="176"/>
        <v>0.10948355508393108</v>
      </c>
      <c r="L162" s="290">
        <f t="shared" ref="L162:M162" si="177">L57 * (1 - L$116)</f>
        <v>0.11433307130605962</v>
      </c>
      <c r="M162" s="290">
        <f t="shared" si="177"/>
        <v>0.11433307130605962</v>
      </c>
      <c r="N162" s="290">
        <f t="shared" ref="N162:P162" si="178">N57 * (1 - N$116)</f>
        <v>0.1020022801709049</v>
      </c>
      <c r="O162" s="290">
        <f t="shared" si="178"/>
        <v>8.4121239682092702E-2</v>
      </c>
      <c r="P162" s="290">
        <f t="shared" si="178"/>
        <v>0</v>
      </c>
      <c r="Q162" s="290">
        <f t="shared" ref="Q162:S162" si="179">Q57 * (1 - Q$116)</f>
        <v>0.10414344145063144</v>
      </c>
      <c r="R162" s="290">
        <f t="shared" si="179"/>
        <v>-7.8487026286948633E-2</v>
      </c>
      <c r="S162" s="290">
        <f t="shared" si="179"/>
        <v>-7.6045526841608965E-2</v>
      </c>
      <c r="T162" s="290">
        <f t="shared" ref="T162:U162" si="180">T57 * (1 - T$116)</f>
        <v>-7.8487026286948633E-2</v>
      </c>
      <c r="U162" s="290">
        <f t="shared" si="180"/>
        <v>-7.8487026286948633E-2</v>
      </c>
      <c r="V162" s="290">
        <f t="shared" ref="V162:W162" si="181">V57 * (1 - V$116)</f>
        <v>-7.6045526841608965E-2</v>
      </c>
      <c r="W162" s="290">
        <f t="shared" si="181"/>
        <v>-7.6045526841608965E-2</v>
      </c>
      <c r="X162" s="290">
        <f t="shared" ref="X162:Y162" si="182">X57 * (1 - X$116)</f>
        <v>-7.4139551563059611E-2</v>
      </c>
      <c r="Y162" s="290">
        <f t="shared" si="182"/>
        <v>-7.4139551563059611E-2</v>
      </c>
      <c r="Z162" s="272"/>
      <c r="AA162" s="272"/>
    </row>
    <row r="163" spans="4:27" x14ac:dyDescent="0.25">
      <c r="F163" t="s">
        <v>196</v>
      </c>
      <c r="G163" t="s">
        <v>269</v>
      </c>
      <c r="H163" s="272"/>
      <c r="I163" s="272"/>
      <c r="J163" s="290">
        <f t="shared" ref="J163:K163" si="183">J58 * (1 - J$117)</f>
        <v>0</v>
      </c>
      <c r="K163" s="290">
        <f t="shared" si="183"/>
        <v>0</v>
      </c>
      <c r="L163" s="290">
        <f t="shared" ref="L163:M163" si="184">L58 * (1 - L$117)</f>
        <v>0</v>
      </c>
      <c r="M163" s="290">
        <f t="shared" si="184"/>
        <v>0</v>
      </c>
      <c r="N163" s="290">
        <f t="shared" ref="N163:P163" si="185">N58 * (1 - N$117)</f>
        <v>0</v>
      </c>
      <c r="O163" s="290">
        <f t="shared" si="185"/>
        <v>0</v>
      </c>
      <c r="P163" s="290">
        <f t="shared" si="185"/>
        <v>0</v>
      </c>
      <c r="Q163" s="290">
        <f t="shared" ref="Q163:S163" si="186">Q58 * (1 - Q$117)</f>
        <v>0</v>
      </c>
      <c r="R163" s="290">
        <f t="shared" si="186"/>
        <v>0</v>
      </c>
      <c r="S163" s="290">
        <f t="shared" si="186"/>
        <v>0</v>
      </c>
      <c r="T163" s="290">
        <f t="shared" ref="T163:U163" si="187">T58 * (1 - T$117)</f>
        <v>0</v>
      </c>
      <c r="U163" s="290">
        <f t="shared" si="187"/>
        <v>0</v>
      </c>
      <c r="V163" s="290">
        <f t="shared" ref="V163:W163" si="188">V58 * (1 - V$117)</f>
        <v>0</v>
      </c>
      <c r="W163" s="290">
        <f t="shared" si="188"/>
        <v>0</v>
      </c>
      <c r="X163" s="290">
        <f t="shared" ref="X163:Y163" si="189">X58 * (1 - X$117)</f>
        <v>0</v>
      </c>
      <c r="Y163" s="290">
        <f t="shared" si="189"/>
        <v>0</v>
      </c>
      <c r="Z163" s="272"/>
      <c r="AA163" s="272"/>
    </row>
    <row r="164" spans="4:27" x14ac:dyDescent="0.25">
      <c r="F164" t="s">
        <v>197</v>
      </c>
      <c r="G164" t="s">
        <v>269</v>
      </c>
      <c r="H164" s="272"/>
      <c r="I164" s="272"/>
      <c r="J164" s="290">
        <f t="shared" ref="J164:K164" si="190">J59 * (1 - J$118)</f>
        <v>0.26112345759518357</v>
      </c>
      <c r="K164" s="290">
        <f t="shared" si="190"/>
        <v>0.26112345759518357</v>
      </c>
      <c r="L164" s="290">
        <f t="shared" ref="L164:M164" si="191">L59 * (1 - L$118)</f>
        <v>0.27268978317362641</v>
      </c>
      <c r="M164" s="290">
        <f t="shared" si="191"/>
        <v>0.27268978317362641</v>
      </c>
      <c r="N164" s="290">
        <f t="shared" ref="N164:P164" si="192">N59 * (1 - N$118)</f>
        <v>0.19462421044256772</v>
      </c>
      <c r="O164" s="290">
        <f t="shared" si="192"/>
        <v>0</v>
      </c>
      <c r="P164" s="290">
        <f t="shared" si="192"/>
        <v>0</v>
      </c>
      <c r="Q164" s="290">
        <f t="shared" ref="Q164:S164" si="193">Q59 * (1 - Q$118)</f>
        <v>0.2483870339851775</v>
      </c>
      <c r="R164" s="290">
        <f t="shared" si="193"/>
        <v>-0.18719527023670895</v>
      </c>
      <c r="S164" s="290">
        <f t="shared" si="193"/>
        <v>-0.181372178573353</v>
      </c>
      <c r="T164" s="290">
        <f t="shared" ref="T164:U164" si="194">T59 * (1 - T$118)</f>
        <v>-0.18719527023670895</v>
      </c>
      <c r="U164" s="290">
        <f t="shared" si="194"/>
        <v>-0.18719527023670895</v>
      </c>
      <c r="V164" s="290">
        <f t="shared" ref="V164:W164" si="195">V59 * (1 - V$118)</f>
        <v>-0.181372178573353</v>
      </c>
      <c r="W164" s="290">
        <f t="shared" si="195"/>
        <v>-0.181372178573353</v>
      </c>
      <c r="X164" s="290">
        <f t="shared" ref="X164:Y164" si="196">X59 * (1 - X$118)</f>
        <v>0</v>
      </c>
      <c r="Y164" s="290">
        <f t="shared" si="196"/>
        <v>0</v>
      </c>
      <c r="Z164" s="272"/>
      <c r="AA164" s="272"/>
    </row>
    <row r="165" spans="4:27" x14ac:dyDescent="0.25">
      <c r="F165" t="s">
        <v>198</v>
      </c>
      <c r="G165" t="s">
        <v>269</v>
      </c>
      <c r="H165" s="272"/>
      <c r="I165" s="272"/>
      <c r="J165" s="290">
        <f t="shared" ref="J165:K165" si="197">J60 * (1 - J$119)</f>
        <v>2.391534025482633E-2</v>
      </c>
      <c r="K165" s="290">
        <f t="shared" si="197"/>
        <v>2.391534025482633E-2</v>
      </c>
      <c r="L165" s="290">
        <f t="shared" ref="L165:M165" si="198">L60 * (1 - L$119)</f>
        <v>2.4974657614722014E-2</v>
      </c>
      <c r="M165" s="290">
        <f t="shared" si="198"/>
        <v>2.4974657614722014E-2</v>
      </c>
      <c r="N165" s="290">
        <f t="shared" ref="N165:P165" si="199">N60 * (1 - N$119)</f>
        <v>0</v>
      </c>
      <c r="O165" s="290">
        <f t="shared" si="199"/>
        <v>0</v>
      </c>
      <c r="P165" s="290">
        <f t="shared" si="199"/>
        <v>0</v>
      </c>
      <c r="Q165" s="290">
        <f t="shared" ref="Q165:S165" si="200">Q60 * (1 - Q$119)</f>
        <v>2.2748857905564888E-2</v>
      </c>
      <c r="R165" s="290">
        <f t="shared" si="200"/>
        <v>-1.7144528580597479E-2</v>
      </c>
      <c r="S165" s="290">
        <f t="shared" si="200"/>
        <v>0</v>
      </c>
      <c r="T165" s="290">
        <f t="shared" ref="T165:U165" si="201">T60 * (1 - T$119)</f>
        <v>-1.7144528580597479E-2</v>
      </c>
      <c r="U165" s="290">
        <f t="shared" si="201"/>
        <v>-1.7144528580597479E-2</v>
      </c>
      <c r="V165" s="290">
        <f t="shared" ref="V165:W165" si="202">V60 * (1 - V$119)</f>
        <v>0</v>
      </c>
      <c r="W165" s="290">
        <f t="shared" si="202"/>
        <v>0</v>
      </c>
      <c r="X165" s="290">
        <f t="shared" ref="X165:Y165" si="203">X60 * (1 - X$119)</f>
        <v>0</v>
      </c>
      <c r="Y165" s="290">
        <f t="shared" si="203"/>
        <v>0</v>
      </c>
      <c r="Z165" s="272"/>
      <c r="AA165" s="272"/>
    </row>
    <row r="166" spans="4:27" x14ac:dyDescent="0.25">
      <c r="F166" t="s">
        <v>199</v>
      </c>
      <c r="G166" t="s">
        <v>269</v>
      </c>
      <c r="H166" s="272"/>
      <c r="I166" s="272"/>
      <c r="J166" s="290">
        <f t="shared" ref="J166:K166" si="204">J61 * (1 - J$120)</f>
        <v>0</v>
      </c>
      <c r="K166" s="290">
        <f t="shared" si="204"/>
        <v>0</v>
      </c>
      <c r="L166" s="290">
        <f t="shared" ref="L166:M166" si="205">L61 * (1 - L$120)</f>
        <v>0</v>
      </c>
      <c r="M166" s="290">
        <f t="shared" si="205"/>
        <v>0</v>
      </c>
      <c r="N166" s="290">
        <f t="shared" ref="N166:P166" si="206">N61 * (1 - N$120)</f>
        <v>0</v>
      </c>
      <c r="O166" s="290">
        <f t="shared" si="206"/>
        <v>0</v>
      </c>
      <c r="P166" s="290">
        <f t="shared" si="206"/>
        <v>0</v>
      </c>
      <c r="Q166" s="290">
        <f t="shared" ref="Q166:S166" si="207">Q61 * (1 - Q$120)</f>
        <v>8.2614452872415371E-3</v>
      </c>
      <c r="R166" s="290">
        <f t="shared" si="207"/>
        <v>0</v>
      </c>
      <c r="S166" s="290">
        <f t="shared" si="207"/>
        <v>0</v>
      </c>
      <c r="T166" s="290">
        <f t="shared" ref="T166:U166" si="208">T61 * (1 - T$120)</f>
        <v>0</v>
      </c>
      <c r="U166" s="290">
        <f t="shared" si="208"/>
        <v>0</v>
      </c>
      <c r="V166" s="290">
        <f t="shared" ref="V166:W166" si="209">V61 * (1 - V$120)</f>
        <v>0</v>
      </c>
      <c r="W166" s="290">
        <f t="shared" si="209"/>
        <v>0</v>
      </c>
      <c r="X166" s="290">
        <f t="shared" ref="X166:Y166" si="210">X61 * (1 - X$120)</f>
        <v>0</v>
      </c>
      <c r="Y166" s="290">
        <f t="shared" si="210"/>
        <v>0</v>
      </c>
      <c r="Z166" s="272"/>
      <c r="AA166" s="272"/>
    </row>
    <row r="167" spans="4:27" x14ac:dyDescent="0.25">
      <c r="D167"/>
      <c r="F167" s="23" t="s">
        <v>376</v>
      </c>
      <c r="G167" s="23" t="s">
        <v>269</v>
      </c>
      <c r="H167" s="270"/>
      <c r="I167" s="270"/>
      <c r="J167" s="288"/>
      <c r="K167" s="288"/>
      <c r="L167" s="288"/>
      <c r="M167" s="288"/>
      <c r="N167" s="288"/>
      <c r="O167" s="288"/>
      <c r="P167" s="288"/>
      <c r="Q167" s="288"/>
      <c r="R167" s="288"/>
      <c r="S167" s="288"/>
      <c r="T167" s="288"/>
      <c r="U167" s="288"/>
      <c r="V167" s="288"/>
      <c r="W167" s="288"/>
      <c r="X167" s="288"/>
      <c r="Y167" s="288"/>
      <c r="Z167" s="272"/>
      <c r="AA167" s="272"/>
    </row>
    <row r="168" spans="4:27" x14ac:dyDescent="0.25">
      <c r="D168"/>
      <c r="F168" s="37" t="s">
        <v>377</v>
      </c>
      <c r="G168" s="37" t="s">
        <v>269</v>
      </c>
      <c r="H168" s="276"/>
      <c r="I168" s="276"/>
      <c r="J168" s="277"/>
      <c r="K168" s="277"/>
      <c r="L168" s="277"/>
      <c r="M168" s="277"/>
      <c r="N168" s="277"/>
      <c r="O168" s="277"/>
      <c r="P168" s="277"/>
      <c r="Q168" s="277"/>
      <c r="R168" s="277"/>
      <c r="S168" s="277"/>
      <c r="T168" s="277"/>
      <c r="U168" s="277"/>
      <c r="V168" s="277"/>
      <c r="W168" s="277"/>
      <c r="X168" s="277"/>
      <c r="Y168" s="277"/>
      <c r="Z168" s="272"/>
      <c r="AA168" s="272"/>
    </row>
    <row r="169" spans="4:27" x14ac:dyDescent="0.25">
      <c r="D169"/>
      <c r="J169" s="89"/>
      <c r="K169" s="89"/>
      <c r="L169" s="89"/>
      <c r="M169" s="89"/>
      <c r="N169" s="89"/>
      <c r="O169" s="89"/>
      <c r="P169" s="89"/>
      <c r="Q169" s="89"/>
      <c r="R169" s="89"/>
      <c r="S169" s="89"/>
      <c r="T169" s="89"/>
      <c r="U169" s="89"/>
      <c r="V169" s="89"/>
      <c r="W169" s="89"/>
      <c r="X169" s="89"/>
      <c r="Y169" s="89"/>
    </row>
    <row r="170" spans="4:27" x14ac:dyDescent="0.25">
      <c r="E170" s="32" t="s">
        <v>622</v>
      </c>
      <c r="J170" s="89"/>
      <c r="K170" s="89"/>
      <c r="L170" s="89"/>
      <c r="M170" s="89"/>
      <c r="N170" s="89"/>
      <c r="O170" s="89"/>
      <c r="P170" s="89"/>
      <c r="Q170" s="89"/>
      <c r="R170" s="89"/>
      <c r="S170" s="89"/>
      <c r="T170" s="89"/>
      <c r="U170" s="89"/>
      <c r="V170" s="89"/>
      <c r="W170" s="89"/>
      <c r="X170" s="89"/>
      <c r="Y170" s="89"/>
    </row>
    <row r="171" spans="4:27" x14ac:dyDescent="0.25">
      <c r="F171" s="23" t="s">
        <v>189</v>
      </c>
      <c r="G171" s="23" t="s">
        <v>269</v>
      </c>
      <c r="H171" s="270"/>
      <c r="I171" s="270"/>
      <c r="J171" s="289">
        <f t="shared" ref="J171:K171" si="211">J66 * (1 - J$112)</f>
        <v>0.33625450336710122</v>
      </c>
      <c r="K171" s="289">
        <f t="shared" si="211"/>
        <v>0.33625450336710122</v>
      </c>
      <c r="L171" s="289">
        <f t="shared" ref="L171:M171" si="212">L66 * (1 - L$112)</f>
        <v>0.35114871891931315</v>
      </c>
      <c r="M171" s="289">
        <f t="shared" si="212"/>
        <v>0.35114871891931315</v>
      </c>
      <c r="N171" s="289">
        <f t="shared" ref="N171:P171" si="213">N66 * (1 - N$112)</f>
        <v>0.31327742358097371</v>
      </c>
      <c r="O171" s="289">
        <f t="shared" si="213"/>
        <v>0.25835976599629551</v>
      </c>
      <c r="P171" s="289">
        <f t="shared" si="213"/>
        <v>0.25875787459802208</v>
      </c>
      <c r="Q171" s="289">
        <f t="shared" ref="Q171:S171" si="214">Q66 * (1 - Q$112)</f>
        <v>0.30390123569151317</v>
      </c>
      <c r="R171" s="289">
        <f t="shared" si="214"/>
        <v>-0.24105552678341946</v>
      </c>
      <c r="S171" s="289">
        <f t="shared" si="214"/>
        <v>-0.23355700170506971</v>
      </c>
      <c r="T171" s="289">
        <f t="shared" ref="T171:U171" si="215">T66 * (1 - T$112)</f>
        <v>-0.24105552678341946</v>
      </c>
      <c r="U171" s="289">
        <f t="shared" si="215"/>
        <v>-0.24105552678341946</v>
      </c>
      <c r="V171" s="289">
        <f t="shared" ref="V171:W171" si="216">V66 * (1 - V$112)</f>
        <v>-0.23355700170506971</v>
      </c>
      <c r="W171" s="289">
        <f t="shared" si="216"/>
        <v>-0.23355700170506971</v>
      </c>
      <c r="X171" s="289">
        <f t="shared" ref="X171:Y171" si="217">X66 * (1 - X$112)</f>
        <v>-0.22848447003442138</v>
      </c>
      <c r="Y171" s="289">
        <f t="shared" si="217"/>
        <v>-0.22848447003442138</v>
      </c>
      <c r="Z171" s="272"/>
      <c r="AA171" s="272"/>
    </row>
    <row r="172" spans="4:27" x14ac:dyDescent="0.25">
      <c r="F172" t="s">
        <v>191</v>
      </c>
      <c r="G172" t="s">
        <v>269</v>
      </c>
      <c r="H172" s="272"/>
      <c r="I172" s="272"/>
      <c r="J172" s="290">
        <f t="shared" ref="J172:K172" si="218">J67 * (1 - J$112)</f>
        <v>0</v>
      </c>
      <c r="K172" s="290">
        <f t="shared" si="218"/>
        <v>0</v>
      </c>
      <c r="L172" s="290">
        <f t="shared" ref="L172:M172" si="219">L67 * (1 - L$112)</f>
        <v>0</v>
      </c>
      <c r="M172" s="290">
        <f t="shared" si="219"/>
        <v>0</v>
      </c>
      <c r="N172" s="290">
        <f t="shared" ref="N172:P172" si="220">N67 * (1 - N$112)</f>
        <v>0</v>
      </c>
      <c r="O172" s="290">
        <f t="shared" si="220"/>
        <v>0</v>
      </c>
      <c r="P172" s="290">
        <f t="shared" si="220"/>
        <v>0</v>
      </c>
      <c r="Q172" s="290">
        <f t="shared" ref="Q172:S172" si="221">Q67 * (1 - Q$112)</f>
        <v>0</v>
      </c>
      <c r="R172" s="290">
        <f t="shared" si="221"/>
        <v>0</v>
      </c>
      <c r="S172" s="290">
        <f t="shared" si="221"/>
        <v>0</v>
      </c>
      <c r="T172" s="290">
        <f t="shared" ref="T172:U172" si="222">T67 * (1 - T$112)</f>
        <v>0</v>
      </c>
      <c r="U172" s="290">
        <f t="shared" si="222"/>
        <v>0</v>
      </c>
      <c r="V172" s="290">
        <f t="shared" ref="V172:W172" si="223">V67 * (1 - V$112)</f>
        <v>0</v>
      </c>
      <c r="W172" s="290">
        <f t="shared" si="223"/>
        <v>0</v>
      </c>
      <c r="X172" s="290">
        <f t="shared" ref="X172:Y172" si="224">X67 * (1 - X$112)</f>
        <v>0</v>
      </c>
      <c r="Y172" s="290">
        <f t="shared" si="224"/>
        <v>0</v>
      </c>
      <c r="Z172" s="272"/>
      <c r="AA172" s="272"/>
    </row>
    <row r="173" spans="4:27" x14ac:dyDescent="0.25">
      <c r="F173" t="s">
        <v>192</v>
      </c>
      <c r="G173" t="s">
        <v>269</v>
      </c>
      <c r="H173" s="272"/>
      <c r="I173" s="272"/>
      <c r="J173" s="290">
        <f t="shared" ref="J173:K173" si="225">J68 * (1 - J$113)</f>
        <v>0</v>
      </c>
      <c r="K173" s="290">
        <f t="shared" si="225"/>
        <v>0</v>
      </c>
      <c r="L173" s="290">
        <f t="shared" ref="L173:M173" si="226">L68 * (1 - L$113)</f>
        <v>0</v>
      </c>
      <c r="M173" s="290">
        <f t="shared" si="226"/>
        <v>0</v>
      </c>
      <c r="N173" s="290">
        <f t="shared" ref="N173:P173" si="227">N68 * (1 - N$113)</f>
        <v>0</v>
      </c>
      <c r="O173" s="290">
        <f t="shared" si="227"/>
        <v>0</v>
      </c>
      <c r="P173" s="290">
        <f t="shared" si="227"/>
        <v>0</v>
      </c>
      <c r="Q173" s="290">
        <f t="shared" ref="Q173:S173" si="228">Q68 * (1 - Q$113)</f>
        <v>0</v>
      </c>
      <c r="R173" s="290">
        <f t="shared" si="228"/>
        <v>0</v>
      </c>
      <c r="S173" s="290">
        <f t="shared" si="228"/>
        <v>0</v>
      </c>
      <c r="T173" s="290">
        <f t="shared" ref="T173:U173" si="229">T68 * (1 - T$113)</f>
        <v>0</v>
      </c>
      <c r="U173" s="290">
        <f t="shared" si="229"/>
        <v>0</v>
      </c>
      <c r="V173" s="290">
        <f t="shared" ref="V173:W173" si="230">V68 * (1 - V$113)</f>
        <v>0</v>
      </c>
      <c r="W173" s="290">
        <f t="shared" si="230"/>
        <v>0</v>
      </c>
      <c r="X173" s="290">
        <f t="shared" ref="X173:Y173" si="231">X68 * (1 - X$113)</f>
        <v>0</v>
      </c>
      <c r="Y173" s="290">
        <f t="shared" si="231"/>
        <v>0</v>
      </c>
      <c r="Z173" s="272"/>
      <c r="AA173" s="272"/>
    </row>
    <row r="174" spans="4:27" x14ac:dyDescent="0.25">
      <c r="F174" t="s">
        <v>193</v>
      </c>
      <c r="G174" t="s">
        <v>269</v>
      </c>
      <c r="H174" s="272"/>
      <c r="I174" s="272"/>
      <c r="J174" s="290">
        <f t="shared" ref="J174:K174" si="232">J69 * (1 - J$114)</f>
        <v>0</v>
      </c>
      <c r="K174" s="290">
        <f t="shared" si="232"/>
        <v>0</v>
      </c>
      <c r="L174" s="290">
        <f t="shared" ref="L174:M174" si="233">L69 * (1 - L$114)</f>
        <v>0</v>
      </c>
      <c r="M174" s="290">
        <f t="shared" si="233"/>
        <v>0</v>
      </c>
      <c r="N174" s="290">
        <f t="shared" ref="N174:P174" si="234">N69 * (1 - N$114)</f>
        <v>0</v>
      </c>
      <c r="O174" s="290">
        <f t="shared" si="234"/>
        <v>0</v>
      </c>
      <c r="P174" s="290">
        <f t="shared" si="234"/>
        <v>0</v>
      </c>
      <c r="Q174" s="290">
        <f t="shared" ref="Q174:S174" si="235">Q69 * (1 - Q$114)</f>
        <v>0</v>
      </c>
      <c r="R174" s="290">
        <f t="shared" si="235"/>
        <v>0</v>
      </c>
      <c r="S174" s="290">
        <f t="shared" si="235"/>
        <v>0</v>
      </c>
      <c r="T174" s="290">
        <f t="shared" ref="T174:U174" si="236">T69 * (1 - T$114)</f>
        <v>0</v>
      </c>
      <c r="U174" s="290">
        <f t="shared" si="236"/>
        <v>0</v>
      </c>
      <c r="V174" s="290">
        <f t="shared" ref="V174:W174" si="237">V69 * (1 - V$114)</f>
        <v>0</v>
      </c>
      <c r="W174" s="290">
        <f t="shared" si="237"/>
        <v>0</v>
      </c>
      <c r="X174" s="290">
        <f t="shared" ref="X174:Y174" si="238">X69 * (1 - X$114)</f>
        <v>0</v>
      </c>
      <c r="Y174" s="290">
        <f t="shared" si="238"/>
        <v>0</v>
      </c>
      <c r="Z174" s="272"/>
      <c r="AA174" s="272"/>
    </row>
    <row r="175" spans="4:27" x14ac:dyDescent="0.25">
      <c r="F175" t="s">
        <v>194</v>
      </c>
      <c r="G175" t="s">
        <v>269</v>
      </c>
      <c r="H175" s="272"/>
      <c r="I175" s="272"/>
      <c r="J175" s="290">
        <f t="shared" ref="J175:K175" si="239">J70 * (1 - J$115)</f>
        <v>0.10220042542336927</v>
      </c>
      <c r="K175" s="290">
        <f t="shared" si="239"/>
        <v>0.10220042542336927</v>
      </c>
      <c r="L175" s="290">
        <f t="shared" ref="L175:M175" si="240">L70 * (1 - L$115)</f>
        <v>0.10672733926553594</v>
      </c>
      <c r="M175" s="290">
        <f t="shared" si="240"/>
        <v>0.10672733926553594</v>
      </c>
      <c r="N175" s="290">
        <f t="shared" ref="N175:P175" si="241">N70 * (1 - N$115)</f>
        <v>9.5216824295014282E-2</v>
      </c>
      <c r="O175" s="290">
        <f t="shared" si="241"/>
        <v>7.8525276933694516E-2</v>
      </c>
      <c r="P175" s="290">
        <f t="shared" si="241"/>
        <v>6.2917021721951016E-2</v>
      </c>
      <c r="Q175" s="290">
        <f t="shared" ref="Q175:S175" si="242">Q70 * (1 - Q$115)</f>
        <v>9.7215549980532459E-2</v>
      </c>
      <c r="R175" s="290">
        <f t="shared" si="242"/>
        <v>-7.3265866006927083E-2</v>
      </c>
      <c r="S175" s="290">
        <f t="shared" si="242"/>
        <v>-7.0986781428486537E-2</v>
      </c>
      <c r="T175" s="290">
        <f t="shared" ref="T175:U175" si="243">T70 * (1 - T$115)</f>
        <v>-7.3265866006927083E-2</v>
      </c>
      <c r="U175" s="290">
        <f t="shared" si="243"/>
        <v>-7.3265866006927083E-2</v>
      </c>
      <c r="V175" s="290">
        <f t="shared" ref="V175:W175" si="244">V70 * (1 - V$115)</f>
        <v>-7.0986781428486537E-2</v>
      </c>
      <c r="W175" s="290">
        <f t="shared" si="244"/>
        <v>-7.0986781428486537E-2</v>
      </c>
      <c r="X175" s="290">
        <f t="shared" ref="X175:Y175" si="245">X70 * (1 - X$115)</f>
        <v>-6.9445047743070892E-2</v>
      </c>
      <c r="Y175" s="290">
        <f t="shared" si="245"/>
        <v>-6.9445047743070892E-2</v>
      </c>
      <c r="Z175" s="272"/>
      <c r="AA175" s="272"/>
    </row>
    <row r="176" spans="4:27" x14ac:dyDescent="0.25">
      <c r="F176" t="s">
        <v>195</v>
      </c>
      <c r="G176" t="s">
        <v>269</v>
      </c>
      <c r="H176" s="272"/>
      <c r="I176" s="272"/>
      <c r="J176" s="290">
        <f t="shared" ref="J176:K176" si="246">J71 * (1 - J$116)</f>
        <v>9.2470567323909306E-2</v>
      </c>
      <c r="K176" s="290">
        <f t="shared" si="246"/>
        <v>9.2470567323909306E-2</v>
      </c>
      <c r="L176" s="290">
        <f t="shared" ref="L176:M176" si="247">L71 * (1 - L$116)</f>
        <v>9.6566502242746668E-2</v>
      </c>
      <c r="M176" s="290">
        <f t="shared" si="247"/>
        <v>9.6566502242746668E-2</v>
      </c>
      <c r="N176" s="290">
        <f t="shared" ref="N176:P176" si="248">N71 * (1 - N$116)</f>
        <v>8.6151830825233117E-2</v>
      </c>
      <c r="O176" s="290">
        <f t="shared" si="248"/>
        <v>7.1049380442847462E-2</v>
      </c>
      <c r="P176" s="290">
        <f t="shared" si="248"/>
        <v>0</v>
      </c>
      <c r="Q176" s="290">
        <f t="shared" ref="Q176:S176" si="249">Q71 * (1 - Q$116)</f>
        <v>8.7960270440812977E-2</v>
      </c>
      <c r="R176" s="290">
        <f t="shared" si="249"/>
        <v>-6.6290684868214905E-2</v>
      </c>
      <c r="S176" s="290">
        <f t="shared" si="249"/>
        <v>-6.4228577562158815E-2</v>
      </c>
      <c r="T176" s="290">
        <f t="shared" ref="T176:U176" si="250">T71 * (1 - T$116)</f>
        <v>-6.6290684868214905E-2</v>
      </c>
      <c r="U176" s="290">
        <f t="shared" si="250"/>
        <v>-6.6290684868214905E-2</v>
      </c>
      <c r="V176" s="290">
        <f t="shared" ref="V176:W176" si="251">V71 * (1 - V$116)</f>
        <v>-6.4228577562158815E-2</v>
      </c>
      <c r="W176" s="290">
        <f t="shared" si="251"/>
        <v>-6.4228577562158815E-2</v>
      </c>
      <c r="X176" s="290">
        <f t="shared" ref="X176:Y176" si="252">X71 * (1 - X$116)</f>
        <v>-6.2833622619826751E-2</v>
      </c>
      <c r="Y176" s="290">
        <f t="shared" si="252"/>
        <v>-6.2833622619826751E-2</v>
      </c>
      <c r="Z176" s="272"/>
      <c r="AA176" s="272"/>
    </row>
    <row r="177" spans="3:27" x14ac:dyDescent="0.25">
      <c r="F177" t="s">
        <v>196</v>
      </c>
      <c r="G177" t="s">
        <v>269</v>
      </c>
      <c r="H177" s="272"/>
      <c r="I177" s="272"/>
      <c r="J177" s="290">
        <f t="shared" ref="J177:K177" si="253">J72 * (1 - J$117)</f>
        <v>0</v>
      </c>
      <c r="K177" s="290">
        <f t="shared" si="253"/>
        <v>0</v>
      </c>
      <c r="L177" s="290">
        <f t="shared" ref="L177:M177" si="254">L72 * (1 - L$117)</f>
        <v>0</v>
      </c>
      <c r="M177" s="290">
        <f t="shared" si="254"/>
        <v>0</v>
      </c>
      <c r="N177" s="290">
        <f t="shared" ref="N177:P177" si="255">N72 * (1 - N$117)</f>
        <v>0</v>
      </c>
      <c r="O177" s="290">
        <f t="shared" si="255"/>
        <v>0</v>
      </c>
      <c r="P177" s="290">
        <f t="shared" si="255"/>
        <v>0</v>
      </c>
      <c r="Q177" s="290">
        <f t="shared" ref="Q177:S177" si="256">Q72 * (1 - Q$117)</f>
        <v>0</v>
      </c>
      <c r="R177" s="290">
        <f t="shared" si="256"/>
        <v>0</v>
      </c>
      <c r="S177" s="290">
        <f t="shared" si="256"/>
        <v>0</v>
      </c>
      <c r="T177" s="290">
        <f t="shared" ref="T177:U177" si="257">T72 * (1 - T$117)</f>
        <v>0</v>
      </c>
      <c r="U177" s="290">
        <f t="shared" si="257"/>
        <v>0</v>
      </c>
      <c r="V177" s="290">
        <f t="shared" ref="V177:W177" si="258">V72 * (1 - V$117)</f>
        <v>0</v>
      </c>
      <c r="W177" s="290">
        <f t="shared" si="258"/>
        <v>0</v>
      </c>
      <c r="X177" s="290">
        <f t="shared" ref="X177:Y177" si="259">X72 * (1 - X$117)</f>
        <v>0</v>
      </c>
      <c r="Y177" s="290">
        <f t="shared" si="259"/>
        <v>0</v>
      </c>
      <c r="Z177" s="272"/>
      <c r="AA177" s="272"/>
    </row>
    <row r="178" spans="3:27" x14ac:dyDescent="0.25">
      <c r="F178" t="s">
        <v>197</v>
      </c>
      <c r="G178" t="s">
        <v>269</v>
      </c>
      <c r="H178" s="272"/>
      <c r="I178" s="272"/>
      <c r="J178" s="290">
        <f t="shared" ref="J178:K178" si="260">J73 * (1 - J$118)</f>
        <v>0.38211190117763377</v>
      </c>
      <c r="K178" s="290">
        <f t="shared" si="260"/>
        <v>0.38211190117763377</v>
      </c>
      <c r="L178" s="290">
        <f t="shared" ref="L178:M178" si="261">L73 * (1 - L$118)</f>
        <v>0.39903734593514772</v>
      </c>
      <c r="M178" s="290">
        <f t="shared" si="261"/>
        <v>0.39903734593514772</v>
      </c>
      <c r="N178" s="290">
        <f t="shared" ref="N178:P178" si="262">N73 * (1 - N$118)</f>
        <v>0.28480101999375929</v>
      </c>
      <c r="O178" s="290">
        <f t="shared" si="262"/>
        <v>0</v>
      </c>
      <c r="P178" s="290">
        <f t="shared" si="262"/>
        <v>0</v>
      </c>
      <c r="Q178" s="290">
        <f t="shared" ref="Q178:S178" si="263">Q73 * (1 - Q$118)</f>
        <v>0.36347420740380221</v>
      </c>
      <c r="R178" s="290">
        <f t="shared" si="263"/>
        <v>-0.27392996883681409</v>
      </c>
      <c r="S178" s="290">
        <f t="shared" si="263"/>
        <v>-0.26540881701572377</v>
      </c>
      <c r="T178" s="290">
        <f t="shared" ref="T178:U178" si="264">T73 * (1 - T$118)</f>
        <v>-0.27392996883681409</v>
      </c>
      <c r="U178" s="290">
        <f t="shared" si="264"/>
        <v>-0.27392996883681409</v>
      </c>
      <c r="V178" s="290">
        <f t="shared" ref="V178:W178" si="265">V73 * (1 - V$118)</f>
        <v>-0.26540881701572377</v>
      </c>
      <c r="W178" s="290">
        <f t="shared" si="265"/>
        <v>-0.26540881701572377</v>
      </c>
      <c r="X178" s="290">
        <f t="shared" ref="X178:Y178" si="266">X73 * (1 - X$118)</f>
        <v>0</v>
      </c>
      <c r="Y178" s="290">
        <f t="shared" si="266"/>
        <v>0</v>
      </c>
      <c r="Z178" s="272"/>
      <c r="AA178" s="272"/>
    </row>
    <row r="179" spans="3:27" x14ac:dyDescent="0.25">
      <c r="F179" t="s">
        <v>198</v>
      </c>
      <c r="G179" t="s">
        <v>269</v>
      </c>
      <c r="H179" s="272"/>
      <c r="I179" s="272"/>
      <c r="J179" s="290">
        <f t="shared" ref="J179:K179" si="267">J74 * (1 - J$119)</f>
        <v>9.2528995348145363E-2</v>
      </c>
      <c r="K179" s="290">
        <f t="shared" si="267"/>
        <v>9.2528995348145363E-2</v>
      </c>
      <c r="L179" s="290">
        <f t="shared" ref="L179:M179" si="268">L74 * (1 - L$119)</f>
        <v>9.6627518305443319E-2</v>
      </c>
      <c r="M179" s="290">
        <f t="shared" si="268"/>
        <v>9.6627518305443319E-2</v>
      </c>
      <c r="N179" s="290">
        <f t="shared" ref="N179:P179" si="269">N74 * (1 - N$119)</f>
        <v>0</v>
      </c>
      <c r="O179" s="290">
        <f t="shared" si="269"/>
        <v>0</v>
      </c>
      <c r="P179" s="290">
        <f t="shared" si="269"/>
        <v>0</v>
      </c>
      <c r="Q179" s="290">
        <f t="shared" ref="Q179:S179" si="270">Q74 * (1 - Q$119)</f>
        <v>8.8015848609757516E-2</v>
      </c>
      <c r="R179" s="290">
        <f t="shared" si="270"/>
        <v>-6.6332570993218723E-2</v>
      </c>
      <c r="S179" s="290">
        <f t="shared" si="270"/>
        <v>0</v>
      </c>
      <c r="T179" s="290">
        <f t="shared" ref="T179:U179" si="271">T74 * (1 - T$119)</f>
        <v>-6.6332570993218723E-2</v>
      </c>
      <c r="U179" s="290">
        <f t="shared" si="271"/>
        <v>-6.6332570993218723E-2</v>
      </c>
      <c r="V179" s="290">
        <f t="shared" ref="V179:W179" si="272">V74 * (1 - V$119)</f>
        <v>0</v>
      </c>
      <c r="W179" s="290">
        <f t="shared" si="272"/>
        <v>0</v>
      </c>
      <c r="X179" s="290">
        <f t="shared" ref="X179:Y179" si="273">X74 * (1 - X$119)</f>
        <v>0</v>
      </c>
      <c r="Y179" s="290">
        <f t="shared" si="273"/>
        <v>0</v>
      </c>
      <c r="Z179" s="272"/>
      <c r="AA179" s="272"/>
    </row>
    <row r="180" spans="3:27" x14ac:dyDescent="0.25">
      <c r="F180" t="s">
        <v>199</v>
      </c>
      <c r="G180" t="s">
        <v>269</v>
      </c>
      <c r="H180" s="272"/>
      <c r="I180" s="272"/>
      <c r="J180" s="290">
        <f t="shared" ref="J180:K180" si="274">J75 * (1 - J$120)</f>
        <v>0</v>
      </c>
      <c r="K180" s="290">
        <f t="shared" si="274"/>
        <v>0</v>
      </c>
      <c r="L180" s="290">
        <f t="shared" ref="L180:M180" si="275">L75 * (1 - L$120)</f>
        <v>0</v>
      </c>
      <c r="M180" s="290">
        <f t="shared" si="275"/>
        <v>0</v>
      </c>
      <c r="N180" s="290">
        <f t="shared" ref="N180:P180" si="276">N75 * (1 - N$120)</f>
        <v>0</v>
      </c>
      <c r="O180" s="290">
        <f t="shared" si="276"/>
        <v>0</v>
      </c>
      <c r="P180" s="290">
        <f t="shared" si="276"/>
        <v>0</v>
      </c>
      <c r="Q180" s="290">
        <f t="shared" ref="Q180:S180" si="277">Q75 * (1 - Q$120)</f>
        <v>0.20893281210255693</v>
      </c>
      <c r="R180" s="290">
        <f t="shared" si="277"/>
        <v>0</v>
      </c>
      <c r="S180" s="290">
        <f t="shared" si="277"/>
        <v>0</v>
      </c>
      <c r="T180" s="290">
        <f t="shared" ref="T180:U180" si="278">T75 * (1 - T$120)</f>
        <v>0</v>
      </c>
      <c r="U180" s="290">
        <f t="shared" si="278"/>
        <v>0</v>
      </c>
      <c r="V180" s="290">
        <f t="shared" ref="V180:W180" si="279">V75 * (1 - V$120)</f>
        <v>0</v>
      </c>
      <c r="W180" s="290">
        <f t="shared" si="279"/>
        <v>0</v>
      </c>
      <c r="X180" s="290">
        <f t="shared" ref="X180:Y180" si="280">X75 * (1 - X$120)</f>
        <v>0</v>
      </c>
      <c r="Y180" s="290">
        <f t="shared" si="280"/>
        <v>0</v>
      </c>
      <c r="Z180" s="272"/>
      <c r="AA180" s="272"/>
    </row>
    <row r="181" spans="3:27" x14ac:dyDescent="0.25">
      <c r="F181" s="23" t="s">
        <v>376</v>
      </c>
      <c r="G181" s="23" t="s">
        <v>269</v>
      </c>
      <c r="H181" s="270"/>
      <c r="I181" s="270" t="s">
        <v>154</v>
      </c>
      <c r="J181" s="288"/>
      <c r="K181" s="288"/>
      <c r="L181" s="288"/>
      <c r="M181" s="288"/>
      <c r="N181" s="288"/>
      <c r="O181" s="288"/>
      <c r="P181" s="288"/>
      <c r="Q181" s="289">
        <f>Q76</f>
        <v>2.1262931523237087</v>
      </c>
      <c r="R181" s="288"/>
      <c r="S181" s="288"/>
      <c r="T181" s="288"/>
      <c r="U181" s="288"/>
      <c r="V181" s="288"/>
      <c r="W181" s="288"/>
      <c r="X181" s="288"/>
      <c r="Y181" s="288"/>
      <c r="Z181" s="272"/>
      <c r="AA181" s="272" t="s">
        <v>654</v>
      </c>
    </row>
    <row r="182" spans="3:27" x14ac:dyDescent="0.25">
      <c r="F182" s="37" t="s">
        <v>377</v>
      </c>
      <c r="G182" s="37" t="s">
        <v>269</v>
      </c>
      <c r="H182" s="276"/>
      <c r="I182" s="276"/>
      <c r="J182" s="277"/>
      <c r="K182" s="277"/>
      <c r="L182" s="277"/>
      <c r="M182" s="277"/>
      <c r="N182" s="277"/>
      <c r="O182" s="277"/>
      <c r="P182" s="277"/>
      <c r="Q182" s="277"/>
      <c r="R182" s="277"/>
      <c r="S182" s="277"/>
      <c r="T182" s="277"/>
      <c r="U182" s="277"/>
      <c r="V182" s="277"/>
      <c r="W182" s="277"/>
      <c r="X182" s="277"/>
      <c r="Y182" s="277"/>
      <c r="Z182" s="272"/>
      <c r="AA182" s="272"/>
    </row>
    <row r="183" spans="3:27" x14ac:dyDescent="0.25">
      <c r="E183"/>
      <c r="J183" s="89"/>
      <c r="K183" s="89"/>
      <c r="L183" s="89"/>
      <c r="M183" s="89"/>
      <c r="N183" s="89"/>
      <c r="O183" s="89"/>
      <c r="P183" s="89"/>
      <c r="Q183" s="89"/>
      <c r="R183" s="89"/>
      <c r="S183" s="89"/>
      <c r="T183" s="89"/>
      <c r="U183" s="89"/>
      <c r="V183" s="89"/>
      <c r="W183" s="89"/>
      <c r="X183" s="89"/>
      <c r="Y183" s="89"/>
    </row>
    <row r="184" spans="3:27" x14ac:dyDescent="0.25">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25">
      <c r="C185" s="32"/>
      <c r="D185" s="32"/>
      <c r="E185"/>
      <c r="I185" t="s">
        <v>154</v>
      </c>
      <c r="J185" s="89"/>
      <c r="K185" s="89"/>
      <c r="L185" s="89"/>
      <c r="M185" s="89"/>
      <c r="N185" s="89"/>
      <c r="O185" s="89"/>
      <c r="P185" s="89"/>
      <c r="Q185" s="89"/>
      <c r="R185" s="89"/>
      <c r="S185" s="89"/>
      <c r="T185" s="89"/>
      <c r="U185" s="89"/>
      <c r="V185" s="89"/>
      <c r="W185" s="89"/>
      <c r="X185" s="89"/>
      <c r="Y185" s="89"/>
      <c r="AA185" t="s">
        <v>656</v>
      </c>
    </row>
    <row r="186" spans="3:27" x14ac:dyDescent="0.25">
      <c r="E186" s="32" t="s">
        <v>621</v>
      </c>
      <c r="J186" s="89"/>
      <c r="K186" s="89"/>
      <c r="L186" s="89"/>
      <c r="M186" s="89"/>
      <c r="N186" s="89"/>
      <c r="O186" s="89"/>
      <c r="P186" s="89"/>
      <c r="Q186" s="89"/>
      <c r="R186" s="89"/>
      <c r="S186" s="89"/>
      <c r="T186" s="89"/>
      <c r="U186" s="89"/>
      <c r="V186" s="89"/>
      <c r="W186" s="89"/>
      <c r="X186" s="89"/>
      <c r="Y186" s="89"/>
    </row>
    <row r="187" spans="3:27" x14ac:dyDescent="0.25">
      <c r="F187" s="23" t="s">
        <v>189</v>
      </c>
      <c r="G187" s="23" t="s">
        <v>269</v>
      </c>
      <c r="H187" s="270"/>
      <c r="I187" s="270"/>
      <c r="J187" s="289">
        <f t="shared" ref="J187:K187" si="281">J82 * (1 - J$112)</f>
        <v>0</v>
      </c>
      <c r="K187" s="289">
        <f t="shared" si="281"/>
        <v>0</v>
      </c>
      <c r="L187" s="289">
        <f t="shared" ref="L187:M187" si="282">L82 * (1 - L$112)</f>
        <v>0</v>
      </c>
      <c r="M187" s="289">
        <f t="shared" si="282"/>
        <v>0</v>
      </c>
      <c r="N187" s="289">
        <f t="shared" ref="N187:P187" si="283">N82 * (1 - N$112)</f>
        <v>0</v>
      </c>
      <c r="O187" s="289">
        <f t="shared" si="283"/>
        <v>0</v>
      </c>
      <c r="P187" s="289">
        <f t="shared" si="283"/>
        <v>0</v>
      </c>
      <c r="Q187" s="289">
        <f t="shared" ref="Q187:S187" si="284">Q82 * (1 - Q$112)</f>
        <v>0</v>
      </c>
      <c r="R187" s="289">
        <f t="shared" si="284"/>
        <v>0</v>
      </c>
      <c r="S187" s="289">
        <f t="shared" si="284"/>
        <v>0</v>
      </c>
      <c r="T187" s="289">
        <f t="shared" ref="T187:U187" si="285">T82 * (1 - T$112)</f>
        <v>0</v>
      </c>
      <c r="U187" s="289">
        <f t="shared" si="285"/>
        <v>0</v>
      </c>
      <c r="V187" s="289">
        <f t="shared" ref="V187:W187" si="286">V82 * (1 - V$112)</f>
        <v>0</v>
      </c>
      <c r="W187" s="289">
        <f t="shared" si="286"/>
        <v>0</v>
      </c>
      <c r="X187" s="289">
        <f t="shared" ref="X187:Y187" si="287">X82 * (1 - X$112)</f>
        <v>0</v>
      </c>
      <c r="Y187" s="289">
        <f t="shared" si="287"/>
        <v>0</v>
      </c>
      <c r="Z187" s="272"/>
      <c r="AA187" s="272"/>
    </row>
    <row r="188" spans="3:27" x14ac:dyDescent="0.25">
      <c r="F188" t="s">
        <v>191</v>
      </c>
      <c r="G188" t="s">
        <v>269</v>
      </c>
      <c r="H188" s="272"/>
      <c r="I188" s="272"/>
      <c r="J188" s="290">
        <f t="shared" ref="J188:K188" si="288">J83 * (1 - J$112)</f>
        <v>0</v>
      </c>
      <c r="K188" s="290">
        <f t="shared" si="288"/>
        <v>0</v>
      </c>
      <c r="L188" s="290">
        <f t="shared" ref="L188:M188" si="289">L83 * (1 - L$112)</f>
        <v>0</v>
      </c>
      <c r="M188" s="290">
        <f t="shared" si="289"/>
        <v>0</v>
      </c>
      <c r="N188" s="290">
        <f t="shared" ref="N188:P188" si="290">N83 * (1 - N$112)</f>
        <v>0</v>
      </c>
      <c r="O188" s="290">
        <f t="shared" si="290"/>
        <v>0</v>
      </c>
      <c r="P188" s="290">
        <f t="shared" si="290"/>
        <v>0</v>
      </c>
      <c r="Q188" s="290">
        <f t="shared" ref="Q188:S188" si="291">Q83 * (1 - Q$112)</f>
        <v>0</v>
      </c>
      <c r="R188" s="290">
        <f t="shared" si="291"/>
        <v>0</v>
      </c>
      <c r="S188" s="290">
        <f t="shared" si="291"/>
        <v>0</v>
      </c>
      <c r="T188" s="290">
        <f t="shared" ref="T188:U188" si="292">T83 * (1 - T$112)</f>
        <v>0</v>
      </c>
      <c r="U188" s="290">
        <f t="shared" si="292"/>
        <v>0</v>
      </c>
      <c r="V188" s="290">
        <f t="shared" ref="V188:W188" si="293">V83 * (1 - V$112)</f>
        <v>0</v>
      </c>
      <c r="W188" s="290">
        <f t="shared" si="293"/>
        <v>0</v>
      </c>
      <c r="X188" s="290">
        <f t="shared" ref="X188:Y188" si="294">X83 * (1 - X$112)</f>
        <v>0</v>
      </c>
      <c r="Y188" s="290">
        <f t="shared" si="294"/>
        <v>0</v>
      </c>
      <c r="Z188" s="272"/>
      <c r="AA188" s="272"/>
    </row>
    <row r="189" spans="3:27" x14ac:dyDescent="0.25">
      <c r="F189" t="s">
        <v>192</v>
      </c>
      <c r="G189" t="s">
        <v>269</v>
      </c>
      <c r="H189" s="272"/>
      <c r="I189" s="272"/>
      <c r="J189" s="290">
        <f t="shared" ref="J189:K189" si="295">J84 * (1 - J$113)</f>
        <v>0</v>
      </c>
      <c r="K189" s="290">
        <f t="shared" si="295"/>
        <v>0</v>
      </c>
      <c r="L189" s="290">
        <f t="shared" ref="L189:M189" si="296">L84 * (1 - L$113)</f>
        <v>0</v>
      </c>
      <c r="M189" s="290">
        <f t="shared" si="296"/>
        <v>0</v>
      </c>
      <c r="N189" s="290">
        <f t="shared" ref="N189:P189" si="297">N84 * (1 - N$113)</f>
        <v>0</v>
      </c>
      <c r="O189" s="290">
        <f t="shared" si="297"/>
        <v>0</v>
      </c>
      <c r="P189" s="290">
        <f t="shared" si="297"/>
        <v>0</v>
      </c>
      <c r="Q189" s="290">
        <f t="shared" ref="Q189:S189" si="298">Q84 * (1 - Q$113)</f>
        <v>0</v>
      </c>
      <c r="R189" s="290">
        <f t="shared" si="298"/>
        <v>0</v>
      </c>
      <c r="S189" s="290">
        <f t="shared" si="298"/>
        <v>0</v>
      </c>
      <c r="T189" s="290">
        <f t="shared" ref="T189:U189" si="299">T84 * (1 - T$113)</f>
        <v>0</v>
      </c>
      <c r="U189" s="290">
        <f t="shared" si="299"/>
        <v>0</v>
      </c>
      <c r="V189" s="290">
        <f t="shared" ref="V189:W189" si="300">V84 * (1 - V$113)</f>
        <v>0</v>
      </c>
      <c r="W189" s="290">
        <f t="shared" si="300"/>
        <v>0</v>
      </c>
      <c r="X189" s="290">
        <f t="shared" ref="X189:Y189" si="301">X84 * (1 - X$113)</f>
        <v>0</v>
      </c>
      <c r="Y189" s="290">
        <f t="shared" si="301"/>
        <v>0</v>
      </c>
      <c r="Z189" s="272"/>
      <c r="AA189" s="272"/>
    </row>
    <row r="190" spans="3:27" x14ac:dyDescent="0.25">
      <c r="F190" t="s">
        <v>193</v>
      </c>
      <c r="G190" t="s">
        <v>269</v>
      </c>
      <c r="H190" s="272"/>
      <c r="I190" s="272"/>
      <c r="J190" s="290">
        <f t="shared" ref="J190:K190" si="302">J85 * (1 - J$114)</f>
        <v>0</v>
      </c>
      <c r="K190" s="290">
        <f t="shared" si="302"/>
        <v>0</v>
      </c>
      <c r="L190" s="290">
        <f t="shared" ref="L190:M190" si="303">L85 * (1 - L$114)</f>
        <v>0</v>
      </c>
      <c r="M190" s="290">
        <f t="shared" si="303"/>
        <v>0</v>
      </c>
      <c r="N190" s="290">
        <f t="shared" ref="N190:P190" si="304">N85 * (1 - N$114)</f>
        <v>0</v>
      </c>
      <c r="O190" s="290">
        <f t="shared" si="304"/>
        <v>0</v>
      </c>
      <c r="P190" s="290">
        <f t="shared" si="304"/>
        <v>0</v>
      </c>
      <c r="Q190" s="290">
        <f t="shared" ref="Q190:S190" si="305">Q85 * (1 - Q$114)</f>
        <v>0</v>
      </c>
      <c r="R190" s="290">
        <f t="shared" si="305"/>
        <v>0</v>
      </c>
      <c r="S190" s="290">
        <f t="shared" si="305"/>
        <v>0</v>
      </c>
      <c r="T190" s="290">
        <f t="shared" ref="T190:U190" si="306">T85 * (1 - T$114)</f>
        <v>0</v>
      </c>
      <c r="U190" s="290">
        <f t="shared" si="306"/>
        <v>0</v>
      </c>
      <c r="V190" s="290">
        <f t="shared" ref="V190:W190" si="307">V85 * (1 - V$114)</f>
        <v>0</v>
      </c>
      <c r="W190" s="290">
        <f t="shared" si="307"/>
        <v>0</v>
      </c>
      <c r="X190" s="290">
        <f t="shared" ref="X190:Y190" si="308">X85 * (1 - X$114)</f>
        <v>0</v>
      </c>
      <c r="Y190" s="290">
        <f t="shared" si="308"/>
        <v>0</v>
      </c>
      <c r="Z190" s="272"/>
      <c r="AA190" s="272"/>
    </row>
    <row r="191" spans="3:27" x14ac:dyDescent="0.25">
      <c r="F191" t="s">
        <v>194</v>
      </c>
      <c r="G191" t="s">
        <v>269</v>
      </c>
      <c r="H191" s="272"/>
      <c r="I191" s="272"/>
      <c r="J191" s="290">
        <f t="shared" ref="J191:K191" si="309">J86 * (1 - J$115)</f>
        <v>5.6782015264948832E-2</v>
      </c>
      <c r="K191" s="290">
        <f t="shared" si="309"/>
        <v>5.6782015264948832E-2</v>
      </c>
      <c r="L191" s="290">
        <f t="shared" ref="L191:M191" si="310">L86 * (1 - L$115)</f>
        <v>5.9297144627905869E-2</v>
      </c>
      <c r="M191" s="290">
        <f t="shared" si="310"/>
        <v>5.9297144627905869E-2</v>
      </c>
      <c r="N191" s="290">
        <f t="shared" ref="N191:P191" si="311">N86 * (1 - N$115)</f>
        <v>5.2901963452719351E-2</v>
      </c>
      <c r="O191" s="290">
        <f t="shared" si="311"/>
        <v>4.3628228112187639E-2</v>
      </c>
      <c r="P191" s="290">
        <f t="shared" si="311"/>
        <v>3.4771160980494355E-2</v>
      </c>
      <c r="Q191" s="290">
        <f t="shared" ref="Q191:S191" si="312">Q86 * (1 - Q$115)</f>
        <v>4.4967827834305259E-2</v>
      </c>
      <c r="R191" s="290">
        <f t="shared" si="312"/>
        <v>-4.0706127247233131E-2</v>
      </c>
      <c r="S191" s="290">
        <f t="shared" si="312"/>
        <v>-3.9439879922067593E-2</v>
      </c>
      <c r="T191" s="290">
        <f t="shared" ref="T191:U191" si="313">T86 * (1 - T$115)</f>
        <v>-4.0706127247233131E-2</v>
      </c>
      <c r="U191" s="290">
        <f t="shared" si="313"/>
        <v>-4.0706127247233131E-2</v>
      </c>
      <c r="V191" s="290">
        <f t="shared" ref="V191:W191" si="314">V86 * (1 - V$115)</f>
        <v>-3.9439879922067593E-2</v>
      </c>
      <c r="W191" s="290">
        <f t="shared" si="314"/>
        <v>-3.9439879922067593E-2</v>
      </c>
      <c r="X191" s="290">
        <f t="shared" ref="X191:Y191" si="315">X86 * (1 - X$115)</f>
        <v>-3.8378881712545818E-2</v>
      </c>
      <c r="Y191" s="290">
        <f t="shared" si="315"/>
        <v>-3.8378881712545818E-2</v>
      </c>
      <c r="Z191" s="272"/>
      <c r="AA191" s="272"/>
    </row>
    <row r="192" spans="3:27" x14ac:dyDescent="0.25">
      <c r="F192" t="s">
        <v>195</v>
      </c>
      <c r="G192" t="s">
        <v>269</v>
      </c>
      <c r="H192" s="272"/>
      <c r="I192" s="272"/>
      <c r="J192" s="290">
        <f t="shared" ref="J192:K192" si="316">J87 * (1 - J$116)</f>
        <v>5.149364586563368E-2</v>
      </c>
      <c r="K192" s="290">
        <f t="shared" si="316"/>
        <v>5.149364586563368E-2</v>
      </c>
      <c r="L192" s="290">
        <f t="shared" ref="L192:M192" si="317">L87 * (1 - L$116)</f>
        <v>5.3774529700383975E-2</v>
      </c>
      <c r="M192" s="290">
        <f t="shared" si="317"/>
        <v>5.3774529700383975E-2</v>
      </c>
      <c r="N192" s="290">
        <f t="shared" ref="N192:P192" si="318">N87 * (1 - N$116)</f>
        <v>4.7974961066811664E-2</v>
      </c>
      <c r="O192" s="290">
        <f t="shared" si="318"/>
        <v>3.9564931214071786E-2</v>
      </c>
      <c r="P192" s="290">
        <f t="shared" si="318"/>
        <v>0</v>
      </c>
      <c r="Q192" s="290">
        <f t="shared" ref="Q192:S192" si="319">Q87 * (1 - Q$116)</f>
        <v>4.0779767872660876E-2</v>
      </c>
      <c r="R192" s="290">
        <f t="shared" si="319"/>
        <v>-3.6914978999069759E-2</v>
      </c>
      <c r="S192" s="290">
        <f t="shared" si="319"/>
        <v>-3.5766663092419833E-2</v>
      </c>
      <c r="T192" s="290">
        <f t="shared" ref="T192:U192" si="320">T87 * (1 - T$116)</f>
        <v>-3.6914978999069759E-2</v>
      </c>
      <c r="U192" s="290">
        <f t="shared" si="320"/>
        <v>-3.6914978999069759E-2</v>
      </c>
      <c r="V192" s="290">
        <f t="shared" ref="V192:W192" si="321">V87 * (1 - V$116)</f>
        <v>-3.5766663092419833E-2</v>
      </c>
      <c r="W192" s="290">
        <f t="shared" si="321"/>
        <v>-3.5766663092419833E-2</v>
      </c>
      <c r="X192" s="290">
        <f t="shared" ref="X192:Y192" si="322">X87 * (1 - X$116)</f>
        <v>-3.4870221467492392E-2</v>
      </c>
      <c r="Y192" s="290">
        <f t="shared" si="322"/>
        <v>-3.4870221467492392E-2</v>
      </c>
      <c r="Z192" s="272"/>
      <c r="AA192" s="272"/>
    </row>
    <row r="193" spans="4:27" x14ac:dyDescent="0.25">
      <c r="F193" t="s">
        <v>196</v>
      </c>
      <c r="G193" t="s">
        <v>269</v>
      </c>
      <c r="H193" s="272"/>
      <c r="I193" s="272"/>
      <c r="J193" s="290">
        <f t="shared" ref="J193:K193" si="323">J88 * (1 - J$117)</f>
        <v>0</v>
      </c>
      <c r="K193" s="290">
        <f t="shared" si="323"/>
        <v>0</v>
      </c>
      <c r="L193" s="290">
        <f t="shared" ref="L193:M193" si="324">L88 * (1 - L$117)</f>
        <v>0</v>
      </c>
      <c r="M193" s="290">
        <f t="shared" si="324"/>
        <v>0</v>
      </c>
      <c r="N193" s="290">
        <f t="shared" ref="N193:P193" si="325">N88 * (1 - N$117)</f>
        <v>0</v>
      </c>
      <c r="O193" s="290">
        <f t="shared" si="325"/>
        <v>0</v>
      </c>
      <c r="P193" s="290">
        <f t="shared" si="325"/>
        <v>0</v>
      </c>
      <c r="Q193" s="290">
        <f t="shared" ref="Q193:S193" si="326">Q88 * (1 - Q$117)</f>
        <v>0</v>
      </c>
      <c r="R193" s="290">
        <f t="shared" si="326"/>
        <v>0</v>
      </c>
      <c r="S193" s="290">
        <f t="shared" si="326"/>
        <v>0</v>
      </c>
      <c r="T193" s="290">
        <f t="shared" ref="T193:U193" si="327">T88 * (1 - T$117)</f>
        <v>0</v>
      </c>
      <c r="U193" s="290">
        <f t="shared" si="327"/>
        <v>0</v>
      </c>
      <c r="V193" s="290">
        <f t="shared" ref="V193:W193" si="328">V88 * (1 - V$117)</f>
        <v>0</v>
      </c>
      <c r="W193" s="290">
        <f t="shared" si="328"/>
        <v>0</v>
      </c>
      <c r="X193" s="290">
        <f t="shared" ref="X193:Y193" si="329">X88 * (1 - X$117)</f>
        <v>0</v>
      </c>
      <c r="Y193" s="290">
        <f t="shared" si="329"/>
        <v>0</v>
      </c>
      <c r="Z193" s="272"/>
      <c r="AA193" s="272"/>
    </row>
    <row r="194" spans="4:27" x14ac:dyDescent="0.25">
      <c r="F194" t="s">
        <v>197</v>
      </c>
      <c r="G194" t="s">
        <v>269</v>
      </c>
      <c r="H194" s="272"/>
      <c r="I194" s="272"/>
      <c r="J194" s="290">
        <f t="shared" ref="J194:K194" si="330">J89 * (1 - J$118)</f>
        <v>0.12281478110852553</v>
      </c>
      <c r="K194" s="290">
        <f t="shared" si="330"/>
        <v>0.12281478110852553</v>
      </c>
      <c r="L194" s="290">
        <f t="shared" ref="L194:M194" si="331">L89 * (1 - L$118)</f>
        <v>0.12825479694329062</v>
      </c>
      <c r="M194" s="290">
        <f t="shared" si="331"/>
        <v>0.12825479694329062</v>
      </c>
      <c r="N194" s="290">
        <f t="shared" ref="N194:P194" si="332">N89 * (1 - N$118)</f>
        <v>9.1538041139833798E-2</v>
      </c>
      <c r="O194" s="290">
        <f t="shared" si="332"/>
        <v>0</v>
      </c>
      <c r="P194" s="290">
        <f t="shared" si="332"/>
        <v>0</v>
      </c>
      <c r="Q194" s="290">
        <f t="shared" ref="Q194:S194" si="333">Q89 * (1 - Q$118)</f>
        <v>9.7261675314387758E-2</v>
      </c>
      <c r="R194" s="290">
        <f t="shared" si="333"/>
        <v>-8.8043971041140021E-2</v>
      </c>
      <c r="S194" s="290">
        <f t="shared" si="333"/>
        <v>-8.5305183286886813E-2</v>
      </c>
      <c r="T194" s="290">
        <f t="shared" ref="T194:U194" si="334">T89 * (1 - T$118)</f>
        <v>-8.8043971041140021E-2</v>
      </c>
      <c r="U194" s="290">
        <f t="shared" si="334"/>
        <v>-8.8043971041140021E-2</v>
      </c>
      <c r="V194" s="290">
        <f t="shared" ref="V194:W194" si="335">V89 * (1 - V$118)</f>
        <v>-8.5305183286886813E-2</v>
      </c>
      <c r="W194" s="290">
        <f t="shared" si="335"/>
        <v>-8.5305183286886813E-2</v>
      </c>
      <c r="X194" s="290">
        <f t="shared" ref="X194:Y194" si="336">X89 * (1 - X$118)</f>
        <v>0</v>
      </c>
      <c r="Y194" s="290">
        <f t="shared" si="336"/>
        <v>0</v>
      </c>
      <c r="Z194" s="272"/>
      <c r="AA194" s="272"/>
    </row>
    <row r="195" spans="4:27" x14ac:dyDescent="0.25">
      <c r="F195" t="s">
        <v>198</v>
      </c>
      <c r="G195" t="s">
        <v>269</v>
      </c>
      <c r="H195" s="272"/>
      <c r="I195" s="272"/>
      <c r="J195" s="290">
        <f t="shared" ref="J195:K195" si="337">J90 * (1 - J$119)</f>
        <v>1.1248155587330813E-2</v>
      </c>
      <c r="K195" s="290">
        <f t="shared" si="337"/>
        <v>1.1248155587330813E-2</v>
      </c>
      <c r="L195" s="290">
        <f t="shared" ref="L195:M195" si="338">L90 * (1 - L$119)</f>
        <v>1.174638669562803E-2</v>
      </c>
      <c r="M195" s="290">
        <f t="shared" si="338"/>
        <v>1.174638669562803E-2</v>
      </c>
      <c r="N195" s="290">
        <f t="shared" ref="N195:P195" si="339">N90 * (1 - N$119)</f>
        <v>0</v>
      </c>
      <c r="O195" s="290">
        <f t="shared" si="339"/>
        <v>0</v>
      </c>
      <c r="P195" s="290">
        <f t="shared" si="339"/>
        <v>0</v>
      </c>
      <c r="Q195" s="290">
        <f t="shared" ref="Q195:S195" si="340">Q90 * (1 - Q$119)</f>
        <v>8.907840300215639E-3</v>
      </c>
      <c r="R195" s="290">
        <f t="shared" si="340"/>
        <v>-8.0636245560872857E-3</v>
      </c>
      <c r="S195" s="290">
        <f t="shared" si="340"/>
        <v>0</v>
      </c>
      <c r="T195" s="290">
        <f t="shared" ref="T195:U195" si="341">T90 * (1 - T$119)</f>
        <v>-8.0636245560872857E-3</v>
      </c>
      <c r="U195" s="290">
        <f t="shared" si="341"/>
        <v>-8.0636245560872857E-3</v>
      </c>
      <c r="V195" s="290">
        <f t="shared" ref="V195:W195" si="342">V90 * (1 - V$119)</f>
        <v>0</v>
      </c>
      <c r="W195" s="290">
        <f t="shared" si="342"/>
        <v>0</v>
      </c>
      <c r="X195" s="290">
        <f t="shared" ref="X195:Y195" si="343">X90 * (1 - X$119)</f>
        <v>0</v>
      </c>
      <c r="Y195" s="290">
        <f t="shared" si="343"/>
        <v>0</v>
      </c>
      <c r="Z195" s="272"/>
      <c r="AA195" s="272"/>
    </row>
    <row r="196" spans="4:27" x14ac:dyDescent="0.25">
      <c r="F196" t="s">
        <v>199</v>
      </c>
      <c r="G196" t="s">
        <v>269</v>
      </c>
      <c r="H196" s="272"/>
      <c r="I196" s="272"/>
      <c r="J196" s="290">
        <f t="shared" ref="J196:K196" si="344">J91 * (1 - J$120)</f>
        <v>0</v>
      </c>
      <c r="K196" s="290">
        <f t="shared" si="344"/>
        <v>0</v>
      </c>
      <c r="L196" s="290">
        <f t="shared" ref="L196:M196" si="345">L91 * (1 - L$120)</f>
        <v>0</v>
      </c>
      <c r="M196" s="290">
        <f t="shared" si="345"/>
        <v>0</v>
      </c>
      <c r="N196" s="290">
        <f t="shared" ref="N196:P196" si="346">N91 * (1 - N$120)</f>
        <v>0</v>
      </c>
      <c r="O196" s="290">
        <f t="shared" si="346"/>
        <v>0</v>
      </c>
      <c r="P196" s="290">
        <f t="shared" si="346"/>
        <v>0</v>
      </c>
      <c r="Q196" s="290">
        <f t="shared" ref="Q196:S196" si="347">Q91 * (1 - Q$120)</f>
        <v>3.2349595559131136E-3</v>
      </c>
      <c r="R196" s="290">
        <f t="shared" si="347"/>
        <v>0</v>
      </c>
      <c r="S196" s="290">
        <f t="shared" si="347"/>
        <v>0</v>
      </c>
      <c r="T196" s="290">
        <f t="shared" ref="T196:U196" si="348">T91 * (1 - T$120)</f>
        <v>0</v>
      </c>
      <c r="U196" s="290">
        <f t="shared" si="348"/>
        <v>0</v>
      </c>
      <c r="V196" s="290">
        <f t="shared" ref="V196:W196" si="349">V91 * (1 - V$120)</f>
        <v>0</v>
      </c>
      <c r="W196" s="290">
        <f t="shared" si="349"/>
        <v>0</v>
      </c>
      <c r="X196" s="290">
        <f t="shared" ref="X196:Y196" si="350">X91 * (1 - X$120)</f>
        <v>0</v>
      </c>
      <c r="Y196" s="290">
        <f t="shared" si="350"/>
        <v>0</v>
      </c>
      <c r="Z196" s="272"/>
      <c r="AA196" s="272"/>
    </row>
    <row r="197" spans="4:27" x14ac:dyDescent="0.25">
      <c r="D197"/>
      <c r="F197" s="23" t="s">
        <v>376</v>
      </c>
      <c r="G197" s="23" t="s">
        <v>269</v>
      </c>
      <c r="H197" s="270"/>
      <c r="I197" s="270"/>
      <c r="J197" s="288"/>
      <c r="K197" s="288"/>
      <c r="L197" s="288"/>
      <c r="M197" s="288"/>
      <c r="N197" s="288"/>
      <c r="O197" s="288"/>
      <c r="P197" s="288"/>
      <c r="Q197" s="288"/>
      <c r="R197" s="288"/>
      <c r="S197" s="288"/>
      <c r="T197" s="288"/>
      <c r="U197" s="288"/>
      <c r="V197" s="288"/>
      <c r="W197" s="288"/>
      <c r="X197" s="288"/>
      <c r="Y197" s="288"/>
      <c r="Z197" s="272"/>
      <c r="AA197" s="272"/>
    </row>
    <row r="198" spans="4:27" x14ac:dyDescent="0.25">
      <c r="D198"/>
      <c r="F198" s="37" t="s">
        <v>377</v>
      </c>
      <c r="G198" s="37" t="s">
        <v>269</v>
      </c>
      <c r="H198" s="276"/>
      <c r="I198" s="276"/>
      <c r="J198" s="277"/>
      <c r="K198" s="277"/>
      <c r="L198" s="277"/>
      <c r="M198" s="277"/>
      <c r="N198" s="277"/>
      <c r="O198" s="277"/>
      <c r="P198" s="277"/>
      <c r="Q198" s="277"/>
      <c r="R198" s="277"/>
      <c r="S198" s="277"/>
      <c r="T198" s="277"/>
      <c r="U198" s="277"/>
      <c r="V198" s="277"/>
      <c r="W198" s="277"/>
      <c r="X198" s="277"/>
      <c r="Y198" s="277"/>
      <c r="Z198" s="272"/>
      <c r="AA198" s="272"/>
    </row>
    <row r="199" spans="4:27" x14ac:dyDescent="0.25">
      <c r="D199"/>
      <c r="J199" s="89"/>
      <c r="K199" s="89"/>
      <c r="L199" s="89"/>
      <c r="M199" s="89"/>
      <c r="N199" s="89"/>
      <c r="O199" s="89"/>
      <c r="P199" s="89"/>
      <c r="Q199" s="89"/>
      <c r="R199" s="89"/>
      <c r="S199" s="89"/>
      <c r="T199" s="89"/>
      <c r="U199" s="89"/>
      <c r="V199" s="89"/>
      <c r="W199" s="89"/>
      <c r="X199" s="89"/>
      <c r="Y199" s="89"/>
    </row>
    <row r="200" spans="4:27" x14ac:dyDescent="0.25">
      <c r="E200" s="32" t="s">
        <v>622</v>
      </c>
      <c r="J200" s="89"/>
      <c r="K200" s="89"/>
      <c r="L200" s="89"/>
      <c r="M200" s="89"/>
      <c r="N200" s="89"/>
      <c r="O200" s="89"/>
      <c r="P200" s="89"/>
      <c r="Q200" s="89"/>
      <c r="R200" s="89"/>
      <c r="S200" s="89"/>
      <c r="T200" s="89"/>
      <c r="U200" s="89"/>
      <c r="V200" s="89"/>
      <c r="W200" s="89"/>
      <c r="X200" s="89"/>
      <c r="Y200" s="89"/>
    </row>
    <row r="201" spans="4:27" x14ac:dyDescent="0.25">
      <c r="F201" s="23" t="s">
        <v>189</v>
      </c>
      <c r="G201" s="23" t="s">
        <v>269</v>
      </c>
      <c r="H201" s="270"/>
      <c r="I201" s="270"/>
      <c r="J201" s="289">
        <f t="shared" ref="J201:K201" si="351">J96 * (1 - J$112)</f>
        <v>0.14125159041628743</v>
      </c>
      <c r="K201" s="289">
        <f t="shared" si="351"/>
        <v>0.14125159041628743</v>
      </c>
      <c r="L201" s="289">
        <f t="shared" ref="L201:M201" si="352">L96 * (1 - L$112)</f>
        <v>0.14750825497746389</v>
      </c>
      <c r="M201" s="289">
        <f t="shared" si="352"/>
        <v>0.14750825497746389</v>
      </c>
      <c r="N201" s="289">
        <f t="shared" ref="N201:P201" si="353">N96 * (1 - N$112)</f>
        <v>0.13159952916383438</v>
      </c>
      <c r="O201" s="289">
        <f t="shared" si="353"/>
        <v>0.10853007909522355</v>
      </c>
      <c r="P201" s="289">
        <f t="shared" si="353"/>
        <v>0.10869731395033828</v>
      </c>
      <c r="Q201" s="289">
        <f t="shared" ref="Q201:S201" si="354">Q96 * (1 - Q$112)</f>
        <v>0.11186248268089082</v>
      </c>
      <c r="R201" s="289">
        <f t="shared" si="354"/>
        <v>-0.10126102757238296</v>
      </c>
      <c r="S201" s="289">
        <f t="shared" si="354"/>
        <v>-9.8111096248081911E-2</v>
      </c>
      <c r="T201" s="289">
        <f t="shared" ref="T201:U201" si="355">T96 * (1 - T$112)</f>
        <v>-0.10126102757238296</v>
      </c>
      <c r="U201" s="289">
        <f t="shared" si="355"/>
        <v>-0.10126102757238296</v>
      </c>
      <c r="V201" s="289">
        <f t="shared" ref="V201:W201" si="356">V96 * (1 - V$112)</f>
        <v>-9.8111096248081911E-2</v>
      </c>
      <c r="W201" s="289">
        <f t="shared" si="356"/>
        <v>-9.8111096248081911E-2</v>
      </c>
      <c r="X201" s="289">
        <f t="shared" ref="X201:Y201" si="357">X96 * (1 - X$112)</f>
        <v>-9.5980260352231242E-2</v>
      </c>
      <c r="Y201" s="289">
        <f t="shared" si="357"/>
        <v>-9.5980260352231242E-2</v>
      </c>
      <c r="Z201" s="272"/>
      <c r="AA201" s="272"/>
    </row>
    <row r="202" spans="4:27" x14ac:dyDescent="0.25">
      <c r="F202" t="s">
        <v>191</v>
      </c>
      <c r="G202" t="s">
        <v>269</v>
      </c>
      <c r="H202" s="272"/>
      <c r="I202" s="272"/>
      <c r="J202" s="290">
        <f t="shared" ref="J202:K202" si="358">J97 * (1 - J$112)</f>
        <v>0</v>
      </c>
      <c r="K202" s="290">
        <f t="shared" si="358"/>
        <v>0</v>
      </c>
      <c r="L202" s="290">
        <f t="shared" ref="L202:M202" si="359">L97 * (1 - L$112)</f>
        <v>0</v>
      </c>
      <c r="M202" s="290">
        <f t="shared" si="359"/>
        <v>0</v>
      </c>
      <c r="N202" s="290">
        <f t="shared" ref="N202:P202" si="360">N97 * (1 - N$112)</f>
        <v>0</v>
      </c>
      <c r="O202" s="290">
        <f t="shared" si="360"/>
        <v>0</v>
      </c>
      <c r="P202" s="290">
        <f t="shared" si="360"/>
        <v>0</v>
      </c>
      <c r="Q202" s="290">
        <f t="shared" ref="Q202:S202" si="361">Q97 * (1 - Q$112)</f>
        <v>0</v>
      </c>
      <c r="R202" s="290">
        <f t="shared" si="361"/>
        <v>0</v>
      </c>
      <c r="S202" s="290">
        <f t="shared" si="361"/>
        <v>0</v>
      </c>
      <c r="T202" s="290">
        <f t="shared" ref="T202:U202" si="362">T97 * (1 - T$112)</f>
        <v>0</v>
      </c>
      <c r="U202" s="290">
        <f t="shared" si="362"/>
        <v>0</v>
      </c>
      <c r="V202" s="290">
        <f t="shared" ref="V202:W202" si="363">V97 * (1 - V$112)</f>
        <v>0</v>
      </c>
      <c r="W202" s="290">
        <f t="shared" si="363"/>
        <v>0</v>
      </c>
      <c r="X202" s="290">
        <f t="shared" ref="X202:Y202" si="364">X97 * (1 - X$112)</f>
        <v>0</v>
      </c>
      <c r="Y202" s="290">
        <f t="shared" si="364"/>
        <v>0</v>
      </c>
      <c r="Z202" s="272"/>
      <c r="AA202" s="272"/>
    </row>
    <row r="203" spans="4:27" x14ac:dyDescent="0.25">
      <c r="F203" t="s">
        <v>192</v>
      </c>
      <c r="G203" t="s">
        <v>269</v>
      </c>
      <c r="H203" s="272"/>
      <c r="I203" s="272"/>
      <c r="J203" s="290">
        <f t="shared" ref="J203:K203" si="365">J98 * (1 - J$113)</f>
        <v>0</v>
      </c>
      <c r="K203" s="290">
        <f t="shared" si="365"/>
        <v>0</v>
      </c>
      <c r="L203" s="290">
        <f t="shared" ref="L203:M203" si="366">L98 * (1 - L$113)</f>
        <v>0</v>
      </c>
      <c r="M203" s="290">
        <f t="shared" si="366"/>
        <v>0</v>
      </c>
      <c r="N203" s="290">
        <f t="shared" ref="N203:P203" si="367">N98 * (1 - N$113)</f>
        <v>0</v>
      </c>
      <c r="O203" s="290">
        <f t="shared" si="367"/>
        <v>0</v>
      </c>
      <c r="P203" s="290">
        <f t="shared" si="367"/>
        <v>0</v>
      </c>
      <c r="Q203" s="290">
        <f t="shared" ref="Q203:S203" si="368">Q98 * (1 - Q$113)</f>
        <v>0</v>
      </c>
      <c r="R203" s="290">
        <f t="shared" si="368"/>
        <v>0</v>
      </c>
      <c r="S203" s="290">
        <f t="shared" si="368"/>
        <v>0</v>
      </c>
      <c r="T203" s="290">
        <f t="shared" ref="T203:U203" si="369">T98 * (1 - T$113)</f>
        <v>0</v>
      </c>
      <c r="U203" s="290">
        <f t="shared" si="369"/>
        <v>0</v>
      </c>
      <c r="V203" s="290">
        <f t="shared" ref="V203:W203" si="370">V98 * (1 - V$113)</f>
        <v>0</v>
      </c>
      <c r="W203" s="290">
        <f t="shared" si="370"/>
        <v>0</v>
      </c>
      <c r="X203" s="290">
        <f t="shared" ref="X203:Y203" si="371">X98 * (1 - X$113)</f>
        <v>0</v>
      </c>
      <c r="Y203" s="290">
        <f t="shared" si="371"/>
        <v>0</v>
      </c>
      <c r="Z203" s="272"/>
      <c r="AA203" s="272"/>
    </row>
    <row r="204" spans="4:27" x14ac:dyDescent="0.25">
      <c r="F204" t="s">
        <v>193</v>
      </c>
      <c r="G204" t="s">
        <v>269</v>
      </c>
      <c r="H204" s="272"/>
      <c r="I204" s="272"/>
      <c r="J204" s="290">
        <f t="shared" ref="J204:K204" si="372">J99 * (1 - J$114)</f>
        <v>0</v>
      </c>
      <c r="K204" s="290">
        <f t="shared" si="372"/>
        <v>0</v>
      </c>
      <c r="L204" s="290">
        <f t="shared" ref="L204:M204" si="373">L99 * (1 - L$114)</f>
        <v>0</v>
      </c>
      <c r="M204" s="290">
        <f t="shared" si="373"/>
        <v>0</v>
      </c>
      <c r="N204" s="290">
        <f t="shared" ref="N204:P204" si="374">N99 * (1 - N$114)</f>
        <v>0</v>
      </c>
      <c r="O204" s="290">
        <f t="shared" si="374"/>
        <v>0</v>
      </c>
      <c r="P204" s="290">
        <f t="shared" si="374"/>
        <v>0</v>
      </c>
      <c r="Q204" s="290">
        <f t="shared" ref="Q204:S204" si="375">Q99 * (1 - Q$114)</f>
        <v>0</v>
      </c>
      <c r="R204" s="290">
        <f t="shared" si="375"/>
        <v>0</v>
      </c>
      <c r="S204" s="290">
        <f t="shared" si="375"/>
        <v>0</v>
      </c>
      <c r="T204" s="290">
        <f t="shared" ref="T204:U204" si="376">T99 * (1 - T$114)</f>
        <v>0</v>
      </c>
      <c r="U204" s="290">
        <f t="shared" si="376"/>
        <v>0</v>
      </c>
      <c r="V204" s="290">
        <f t="shared" ref="V204:W204" si="377">V99 * (1 - V$114)</f>
        <v>0</v>
      </c>
      <c r="W204" s="290">
        <f t="shared" si="377"/>
        <v>0</v>
      </c>
      <c r="X204" s="290">
        <f t="shared" ref="X204:Y204" si="378">X99 * (1 - X$114)</f>
        <v>0</v>
      </c>
      <c r="Y204" s="290">
        <f t="shared" si="378"/>
        <v>0</v>
      </c>
      <c r="Z204" s="272"/>
      <c r="AA204" s="272"/>
    </row>
    <row r="205" spans="4:27" x14ac:dyDescent="0.25">
      <c r="F205" t="s">
        <v>194</v>
      </c>
      <c r="G205" t="s">
        <v>269</v>
      </c>
      <c r="H205" s="272"/>
      <c r="I205" s="272"/>
      <c r="J205" s="290">
        <f t="shared" ref="J205:K205" si="379">J100 * (1 - J$115)</f>
        <v>4.8068155167537888E-2</v>
      </c>
      <c r="K205" s="290">
        <f t="shared" si="379"/>
        <v>4.8068155167537888E-2</v>
      </c>
      <c r="L205" s="290">
        <f t="shared" ref="L205:M205" si="380">L100 * (1 - L$115)</f>
        <v>5.0197308701820403E-2</v>
      </c>
      <c r="M205" s="290">
        <f t="shared" si="380"/>
        <v>5.0197308701820403E-2</v>
      </c>
      <c r="N205" s="290">
        <f t="shared" ref="N205:P205" si="381">N100 * (1 - N$115)</f>
        <v>4.4783542395376165E-2</v>
      </c>
      <c r="O205" s="290">
        <f t="shared" si="381"/>
        <v>3.6932969511491054E-2</v>
      </c>
      <c r="P205" s="290">
        <f t="shared" si="381"/>
        <v>2.9591903852472148E-2</v>
      </c>
      <c r="Q205" s="290">
        <f t="shared" ref="Q205:S205" si="382">Q100 * (1 - Q$115)</f>
        <v>3.8066992088968826E-2</v>
      </c>
      <c r="R205" s="290">
        <f t="shared" si="382"/>
        <v>-3.4459298981545365E-2</v>
      </c>
      <c r="S205" s="290">
        <f t="shared" si="382"/>
        <v>-3.3387372023290514E-2</v>
      </c>
      <c r="T205" s="290">
        <f t="shared" ref="T205:U205" si="383">T100 * (1 - T$115)</f>
        <v>-3.4459298981545365E-2</v>
      </c>
      <c r="U205" s="290">
        <f t="shared" si="383"/>
        <v>-3.4459298981545365E-2</v>
      </c>
      <c r="V205" s="290">
        <f t="shared" ref="V205:W205" si="384">V100 * (1 - V$115)</f>
        <v>-3.3387372023290514E-2</v>
      </c>
      <c r="W205" s="290">
        <f t="shared" si="384"/>
        <v>-3.3387372023290514E-2</v>
      </c>
      <c r="X205" s="290">
        <f t="shared" ref="X205:Y205" si="385">X100 * (1 - X$115)</f>
        <v>-3.2662244963294597E-2</v>
      </c>
      <c r="Y205" s="290">
        <f t="shared" si="385"/>
        <v>-3.2662244963294597E-2</v>
      </c>
      <c r="Z205" s="272"/>
      <c r="AA205" s="272"/>
    </row>
    <row r="206" spans="4:27" x14ac:dyDescent="0.25">
      <c r="F206" t="s">
        <v>195</v>
      </c>
      <c r="G206" t="s">
        <v>269</v>
      </c>
      <c r="H206" s="272"/>
      <c r="I206" s="272"/>
      <c r="J206" s="290">
        <f t="shared" ref="J206:K206" si="386">J101 * (1 - J$116)</f>
        <v>4.3491889198531246E-2</v>
      </c>
      <c r="K206" s="290">
        <f t="shared" si="386"/>
        <v>4.3491889198531246E-2</v>
      </c>
      <c r="L206" s="290">
        <f t="shared" ref="L206:M206" si="387">L101 * (1 - L$116)</f>
        <v>4.5418339449782262E-2</v>
      </c>
      <c r="M206" s="290">
        <f t="shared" si="387"/>
        <v>4.5418339449782262E-2</v>
      </c>
      <c r="N206" s="290">
        <f t="shared" ref="N206:P206" si="388">N101 * (1 - N$116)</f>
        <v>4.0519983697913813E-2</v>
      </c>
      <c r="O206" s="290">
        <f t="shared" si="388"/>
        <v>3.3416814358028075E-2</v>
      </c>
      <c r="P206" s="290">
        <f t="shared" si="388"/>
        <v>0</v>
      </c>
      <c r="Q206" s="290">
        <f t="shared" ref="Q206:S206" si="389">Q101 * (1 - Q$116)</f>
        <v>3.4442873796265143E-2</v>
      </c>
      <c r="R206" s="290">
        <f t="shared" si="389"/>
        <v>-3.1178646401985408E-2</v>
      </c>
      <c r="S206" s="290">
        <f t="shared" si="389"/>
        <v>-3.0208770850597023E-2</v>
      </c>
      <c r="T206" s="290">
        <f t="shared" ref="T206:U206" si="390">T101 * (1 - T$116)</f>
        <v>-3.1178646401985408E-2</v>
      </c>
      <c r="U206" s="290">
        <f t="shared" si="390"/>
        <v>-3.1178646401985408E-2</v>
      </c>
      <c r="V206" s="290">
        <f t="shared" ref="V206:W206" si="391">V101 * (1 - V$116)</f>
        <v>-3.0208770850597023E-2</v>
      </c>
      <c r="W206" s="290">
        <f t="shared" si="391"/>
        <v>-3.0208770850597023E-2</v>
      </c>
      <c r="X206" s="290">
        <f t="shared" ref="X206:Y206" si="392">X101 * (1 - X$116)</f>
        <v>-2.9552678565834292E-2</v>
      </c>
      <c r="Y206" s="290">
        <f t="shared" si="392"/>
        <v>-2.9552678565834292E-2</v>
      </c>
      <c r="Z206" s="272"/>
      <c r="AA206" s="272"/>
    </row>
    <row r="207" spans="4:27" x14ac:dyDescent="0.25">
      <c r="F207" t="s">
        <v>196</v>
      </c>
      <c r="G207" t="s">
        <v>269</v>
      </c>
      <c r="H207" s="272"/>
      <c r="I207" s="272"/>
      <c r="J207" s="290">
        <f t="shared" ref="J207:K207" si="393">J102 * (1 - J$117)</f>
        <v>0</v>
      </c>
      <c r="K207" s="290">
        <f t="shared" si="393"/>
        <v>0</v>
      </c>
      <c r="L207" s="290">
        <f t="shared" ref="L207:M207" si="394">L102 * (1 - L$117)</f>
        <v>0</v>
      </c>
      <c r="M207" s="290">
        <f t="shared" si="394"/>
        <v>0</v>
      </c>
      <c r="N207" s="290">
        <f t="shared" ref="N207:P207" si="395">N102 * (1 - N$117)</f>
        <v>0</v>
      </c>
      <c r="O207" s="290">
        <f t="shared" si="395"/>
        <v>0</v>
      </c>
      <c r="P207" s="290">
        <f t="shared" si="395"/>
        <v>0</v>
      </c>
      <c r="Q207" s="290">
        <f t="shared" ref="Q207:S207" si="396">Q102 * (1 - Q$117)</f>
        <v>0</v>
      </c>
      <c r="R207" s="290">
        <f t="shared" si="396"/>
        <v>0</v>
      </c>
      <c r="S207" s="290">
        <f t="shared" si="396"/>
        <v>0</v>
      </c>
      <c r="T207" s="290">
        <f t="shared" ref="T207:U207" si="397">T102 * (1 - T$117)</f>
        <v>0</v>
      </c>
      <c r="U207" s="290">
        <f t="shared" si="397"/>
        <v>0</v>
      </c>
      <c r="V207" s="290">
        <f t="shared" ref="V207:W207" si="398">V102 * (1 - V$117)</f>
        <v>0</v>
      </c>
      <c r="W207" s="290">
        <f t="shared" si="398"/>
        <v>0</v>
      </c>
      <c r="X207" s="290">
        <f t="shared" ref="X207:Y207" si="399">X102 * (1 - X$117)</f>
        <v>0</v>
      </c>
      <c r="Y207" s="290">
        <f t="shared" si="399"/>
        <v>0</v>
      </c>
      <c r="Z207" s="272"/>
      <c r="AA207" s="272"/>
    </row>
    <row r="208" spans="4:27" x14ac:dyDescent="0.25">
      <c r="F208" t="s">
        <v>197</v>
      </c>
      <c r="G208" t="s">
        <v>269</v>
      </c>
      <c r="H208" s="272"/>
      <c r="I208" s="272"/>
      <c r="J208" s="290">
        <f t="shared" ref="J208:K208" si="400">J103 * (1 - J$118)</f>
        <v>0.17971954696941497</v>
      </c>
      <c r="K208" s="290">
        <f t="shared" si="400"/>
        <v>0.17971954696941497</v>
      </c>
      <c r="L208" s="290">
        <f t="shared" ref="L208:M208" si="401">L103 * (1 - L$118)</f>
        <v>0.18768012933992376</v>
      </c>
      <c r="M208" s="290">
        <f t="shared" si="401"/>
        <v>0.18768012933992376</v>
      </c>
      <c r="N208" s="290">
        <f t="shared" ref="N208:P208" si="402">N103 * (1 - N$118)</f>
        <v>0.13395110210375644</v>
      </c>
      <c r="O208" s="290">
        <f t="shared" si="402"/>
        <v>0</v>
      </c>
      <c r="P208" s="290">
        <f t="shared" si="402"/>
        <v>0</v>
      </c>
      <c r="Q208" s="290">
        <f t="shared" ref="Q208:S208" si="403">Q103 * (1 - Q$118)</f>
        <v>0.14232671399334268</v>
      </c>
      <c r="R208" s="290">
        <f t="shared" si="403"/>
        <v>-0.12883809624608419</v>
      </c>
      <c r="S208" s="290">
        <f t="shared" si="403"/>
        <v>-0.1248303238102499</v>
      </c>
      <c r="T208" s="290">
        <f t="shared" ref="T208:U208" si="404">T103 * (1 - T$118)</f>
        <v>-0.12883809624608419</v>
      </c>
      <c r="U208" s="290">
        <f t="shared" si="404"/>
        <v>-0.12883809624608419</v>
      </c>
      <c r="V208" s="290">
        <f t="shared" ref="V208:W208" si="405">V103 * (1 - V$118)</f>
        <v>-0.1248303238102499</v>
      </c>
      <c r="W208" s="290">
        <f t="shared" si="405"/>
        <v>-0.1248303238102499</v>
      </c>
      <c r="X208" s="290">
        <f t="shared" ref="X208:Y208" si="406">X103 * (1 - X$118)</f>
        <v>0</v>
      </c>
      <c r="Y208" s="290">
        <f t="shared" si="406"/>
        <v>0</v>
      </c>
      <c r="Z208" s="272"/>
      <c r="AA208" s="272"/>
    </row>
    <row r="209" spans="2:27" x14ac:dyDescent="0.25">
      <c r="F209" t="s">
        <v>198</v>
      </c>
      <c r="G209" t="s">
        <v>269</v>
      </c>
      <c r="H209" s="272"/>
      <c r="I209" s="272"/>
      <c r="J209" s="290">
        <f t="shared" ref="J209:K209" si="407">J104 * (1 - J$119)</f>
        <v>4.3519369782134262E-2</v>
      </c>
      <c r="K209" s="290">
        <f t="shared" si="407"/>
        <v>4.3519369782134262E-2</v>
      </c>
      <c r="L209" s="290">
        <f t="shared" ref="L209:M209" si="408">L104 * (1 - L$119)</f>
        <v>4.5447037271315445E-2</v>
      </c>
      <c r="M209" s="290">
        <f t="shared" si="408"/>
        <v>4.5447037271315445E-2</v>
      </c>
      <c r="N209" s="290">
        <f t="shared" ref="N209:P209" si="409">N104 * (1 - N$119)</f>
        <v>0</v>
      </c>
      <c r="O209" s="290">
        <f t="shared" si="409"/>
        <v>0</v>
      </c>
      <c r="P209" s="290">
        <f t="shared" si="409"/>
        <v>0</v>
      </c>
      <c r="Q209" s="290">
        <f t="shared" ref="Q209:S209" si="410">Q104 * (1 - Q$119)</f>
        <v>3.4464636710921856E-2</v>
      </c>
      <c r="R209" s="290">
        <f t="shared" si="410"/>
        <v>-3.1198346797044533E-2</v>
      </c>
      <c r="S209" s="290">
        <f t="shared" si="410"/>
        <v>0</v>
      </c>
      <c r="T209" s="290">
        <f t="shared" ref="T209:U209" si="411">T104 * (1 - T$119)</f>
        <v>-3.1198346797044533E-2</v>
      </c>
      <c r="U209" s="290">
        <f t="shared" si="411"/>
        <v>-3.1198346797044533E-2</v>
      </c>
      <c r="V209" s="290">
        <f t="shared" ref="V209:W209" si="412">V104 * (1 - V$119)</f>
        <v>0</v>
      </c>
      <c r="W209" s="290">
        <f t="shared" si="412"/>
        <v>0</v>
      </c>
      <c r="X209" s="290">
        <f t="shared" ref="X209:Y209" si="413">X104 * (1 - X$119)</f>
        <v>0</v>
      </c>
      <c r="Y209" s="290">
        <f t="shared" si="413"/>
        <v>0</v>
      </c>
      <c r="Z209" s="272"/>
      <c r="AA209" s="272"/>
    </row>
    <row r="210" spans="2:27" x14ac:dyDescent="0.25">
      <c r="F210" t="s">
        <v>199</v>
      </c>
      <c r="G210" t="s">
        <v>269</v>
      </c>
      <c r="H210" s="272"/>
      <c r="I210" s="272"/>
      <c r="J210" s="290">
        <f t="shared" ref="J210:K210" si="414">J105 * (1 - J$120)</f>
        <v>0</v>
      </c>
      <c r="K210" s="290">
        <f t="shared" si="414"/>
        <v>0</v>
      </c>
      <c r="L210" s="290">
        <f t="shared" ref="L210:M210" si="415">L105 * (1 - L$120)</f>
        <v>0</v>
      </c>
      <c r="M210" s="290">
        <f t="shared" si="415"/>
        <v>0</v>
      </c>
      <c r="N210" s="290">
        <f t="shared" ref="N210:P210" si="416">N105 * (1 - N$120)</f>
        <v>0</v>
      </c>
      <c r="O210" s="290">
        <f t="shared" si="416"/>
        <v>0</v>
      </c>
      <c r="P210" s="290">
        <f t="shared" si="416"/>
        <v>0</v>
      </c>
      <c r="Q210" s="290">
        <f t="shared" ref="Q210:S210" si="417">Q105 * (1 - Q$120)</f>
        <v>8.1812464230534454E-2</v>
      </c>
      <c r="R210" s="290">
        <f t="shared" si="417"/>
        <v>0</v>
      </c>
      <c r="S210" s="290">
        <f t="shared" si="417"/>
        <v>0</v>
      </c>
      <c r="T210" s="290">
        <f t="shared" ref="T210:U210" si="418">T105 * (1 - T$120)</f>
        <v>0</v>
      </c>
      <c r="U210" s="290">
        <f t="shared" si="418"/>
        <v>0</v>
      </c>
      <c r="V210" s="290">
        <f t="shared" ref="V210:W210" si="419">V105 * (1 - V$120)</f>
        <v>0</v>
      </c>
      <c r="W210" s="290">
        <f t="shared" si="419"/>
        <v>0</v>
      </c>
      <c r="X210" s="290">
        <f t="shared" ref="X210:Y210" si="420">X105 * (1 - X$120)</f>
        <v>0</v>
      </c>
      <c r="Y210" s="290">
        <f t="shared" si="420"/>
        <v>0</v>
      </c>
      <c r="Z210" s="272"/>
      <c r="AA210" s="272"/>
    </row>
    <row r="211" spans="2:27" x14ac:dyDescent="0.25">
      <c r="D211"/>
      <c r="F211" s="23" t="s">
        <v>376</v>
      </c>
      <c r="G211" s="23" t="s">
        <v>269</v>
      </c>
      <c r="H211" s="270"/>
      <c r="I211" s="270" t="s">
        <v>154</v>
      </c>
      <c r="J211" s="288"/>
      <c r="K211" s="288"/>
      <c r="L211" s="288"/>
      <c r="M211" s="288"/>
      <c r="N211" s="288"/>
      <c r="O211" s="288"/>
      <c r="P211" s="288"/>
      <c r="Q211" s="289">
        <f>Q106</f>
        <v>2.1262931523237087</v>
      </c>
      <c r="R211" s="288"/>
      <c r="S211" s="288"/>
      <c r="T211" s="288"/>
      <c r="U211" s="288"/>
      <c r="V211" s="288"/>
      <c r="W211" s="288"/>
      <c r="X211" s="288"/>
      <c r="Y211" s="288"/>
      <c r="Z211" s="272"/>
      <c r="AA211" s="272" t="s">
        <v>654</v>
      </c>
    </row>
    <row r="212" spans="2:27" x14ac:dyDescent="0.25">
      <c r="D212"/>
      <c r="F212" s="37" t="s">
        <v>377</v>
      </c>
      <c r="G212" s="37" t="s">
        <v>269</v>
      </c>
      <c r="H212" s="276"/>
      <c r="I212" s="276"/>
      <c r="J212" s="277"/>
      <c r="K212" s="277"/>
      <c r="L212" s="277"/>
      <c r="M212" s="277"/>
      <c r="N212" s="277"/>
      <c r="O212" s="277"/>
      <c r="P212" s="277"/>
      <c r="Q212" s="277"/>
      <c r="R212" s="277"/>
      <c r="S212" s="277"/>
      <c r="T212" s="277"/>
      <c r="U212" s="277"/>
      <c r="V212" s="277"/>
      <c r="W212" s="277"/>
      <c r="X212" s="277"/>
      <c r="Y212" s="277"/>
      <c r="Z212" s="272"/>
      <c r="AA212" s="272"/>
    </row>
    <row r="213" spans="2:27" x14ac:dyDescent="0.25">
      <c r="J213" s="89"/>
      <c r="K213" s="89"/>
      <c r="L213" s="89"/>
      <c r="M213" s="89"/>
      <c r="N213" s="89"/>
      <c r="O213" s="89"/>
      <c r="P213" s="89"/>
      <c r="Q213" s="89"/>
      <c r="R213" s="89"/>
      <c r="S213" s="89"/>
      <c r="T213" s="89"/>
      <c r="U213" s="89"/>
      <c r="V213" s="89"/>
      <c r="W213" s="89"/>
      <c r="X213" s="89"/>
      <c r="Y213" s="89"/>
    </row>
    <row r="214" spans="2:27" x14ac:dyDescent="0.25">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25">
      <c r="J215" s="89"/>
      <c r="K215" s="89"/>
      <c r="L215" s="89"/>
      <c r="M215" s="89"/>
      <c r="N215" s="89"/>
      <c r="O215" s="89"/>
      <c r="P215" s="89"/>
      <c r="Q215" s="89"/>
      <c r="R215" s="89"/>
      <c r="S215" s="89"/>
      <c r="T215" s="89"/>
      <c r="U215" s="89"/>
      <c r="V215" s="89"/>
      <c r="W215" s="89"/>
      <c r="X215" s="89"/>
      <c r="Y215" s="89"/>
      <c r="AA215" s="3"/>
    </row>
    <row r="216" spans="2:27" x14ac:dyDescent="0.25">
      <c r="D216"/>
      <c r="E216" s="32" t="s">
        <v>657</v>
      </c>
      <c r="F216" s="2"/>
      <c r="J216" s="89"/>
      <c r="K216" s="89"/>
      <c r="L216" s="89"/>
      <c r="M216" s="89"/>
      <c r="N216" s="89"/>
      <c r="O216" s="89"/>
      <c r="P216" s="89"/>
      <c r="Q216" s="89"/>
      <c r="R216" s="89"/>
      <c r="S216" s="89"/>
      <c r="T216" s="89"/>
      <c r="U216" s="89"/>
      <c r="V216" s="89"/>
      <c r="W216" s="89"/>
      <c r="X216" s="89"/>
      <c r="Y216" s="89"/>
      <c r="AA216" s="3"/>
    </row>
    <row r="217" spans="2:27" x14ac:dyDescent="0.25">
      <c r="D217"/>
      <c r="F217" s="23" t="s">
        <v>658</v>
      </c>
      <c r="G217" s="23" t="s">
        <v>269</v>
      </c>
      <c r="H217" s="270"/>
      <c r="I217" s="270"/>
      <c r="J217" s="279">
        <f t="shared" ref="J217:K217" si="421">SUM(J127:J138,J141:J152)</f>
        <v>9.8203681498151312</v>
      </c>
      <c r="K217" s="279">
        <f t="shared" si="421"/>
        <v>9.8203681498151312</v>
      </c>
      <c r="L217" s="279">
        <f t="shared" ref="L217:M217" si="422">SUM(L127:L138,L141:L152)</f>
        <v>10.255356168000093</v>
      </c>
      <c r="M217" s="279">
        <f t="shared" si="422"/>
        <v>10.255356168000093</v>
      </c>
      <c r="N217" s="279">
        <f t="shared" ref="N217:P217" si="423">SUM(N127:N138,N141:N152)</f>
        <v>7.7300298317786229</v>
      </c>
      <c r="O217" s="279">
        <f t="shared" si="423"/>
        <v>3.917424895049189</v>
      </c>
      <c r="P217" s="279">
        <f t="shared" si="423"/>
        <v>2.7417958672948952</v>
      </c>
      <c r="Q217" s="279">
        <f t="shared" ref="Q217:S217" si="424">SUM(Q127:Q138,Q141:Q152)</f>
        <v>22.016762373135332</v>
      </c>
      <c r="R217" s="279">
        <f t="shared" si="424"/>
        <v>-7.0400663600224984</v>
      </c>
      <c r="S217" s="279">
        <f t="shared" si="424"/>
        <v>-6.3183521781843845</v>
      </c>
      <c r="T217" s="279">
        <f t="shared" ref="T217:U217" si="425">SUM(T127:T138,T141:T152)</f>
        <v>-7.0400663600224984</v>
      </c>
      <c r="U217" s="279">
        <f t="shared" si="425"/>
        <v>-7.0400663600224984</v>
      </c>
      <c r="V217" s="279">
        <f t="shared" ref="V217:W217" si="426">SUM(V127:V138,V141:V152)</f>
        <v>-6.3183521781843845</v>
      </c>
      <c r="W217" s="279">
        <f t="shared" si="426"/>
        <v>-6.3183521781843845</v>
      </c>
      <c r="X217" s="279">
        <f t="shared" ref="X217:Y217" si="427">SUM(X127:X138,X141:X152)</f>
        <v>-3.4601529888602931</v>
      </c>
      <c r="Y217" s="279">
        <f t="shared" si="427"/>
        <v>-3.4601529888602931</v>
      </c>
      <c r="Z217" s="272"/>
      <c r="AA217" s="272"/>
    </row>
    <row r="218" spans="2:27" x14ac:dyDescent="0.25">
      <c r="D218"/>
      <c r="F218" t="s">
        <v>659</v>
      </c>
      <c r="G218" t="s">
        <v>269</v>
      </c>
      <c r="H218" s="272"/>
      <c r="I218" s="272"/>
      <c r="J218" s="280">
        <f t="shared" ref="J218:K218" si="428">SUM(J157:J168,J171:J182)</f>
        <v>1.5208162021666733</v>
      </c>
      <c r="K218" s="280">
        <f t="shared" si="428"/>
        <v>1.5208162021666733</v>
      </c>
      <c r="L218" s="280">
        <f t="shared" ref="L218:M218" si="429">SUM(L157:L168,L171:L182)</f>
        <v>1.5881799522534263</v>
      </c>
      <c r="M218" s="280">
        <f t="shared" si="429"/>
        <v>1.5881799522534263</v>
      </c>
      <c r="N218" s="280">
        <f t="shared" ref="N218:P218" si="430">SUM(N157:N168,N171:N182)</f>
        <v>1.1885514481269401</v>
      </c>
      <c r="O218" s="280">
        <f t="shared" si="430"/>
        <v>0.58481610826012864</v>
      </c>
      <c r="P218" s="280">
        <f t="shared" si="430"/>
        <v>0.39560382977467057</v>
      </c>
      <c r="Q218" s="280">
        <f t="shared" ref="Q218:S218" si="431">SUM(Q157:Q168,Q171:Q182)</f>
        <v>3.7741727713773781</v>
      </c>
      <c r="R218" s="280">
        <f t="shared" si="431"/>
        <v>-1.0902490437542633</v>
      </c>
      <c r="S218" s="280">
        <f t="shared" si="431"/>
        <v>-0.97545424417849347</v>
      </c>
      <c r="T218" s="280">
        <f t="shared" ref="T218:U218" si="432">SUM(T157:T168,T171:T182)</f>
        <v>-1.0902490437542633</v>
      </c>
      <c r="U218" s="280">
        <f t="shared" si="432"/>
        <v>-1.0902490437542633</v>
      </c>
      <c r="V218" s="280">
        <f t="shared" ref="V218:W218" si="433">SUM(V157:V168,V171:V182)</f>
        <v>-0.97545424417849347</v>
      </c>
      <c r="W218" s="280">
        <f t="shared" si="433"/>
        <v>-0.97545424417849347</v>
      </c>
      <c r="X218" s="280">
        <f t="shared" ref="X218:Y218" si="434">SUM(X157:X168,X171:X182)</f>
        <v>-0.51650220466529395</v>
      </c>
      <c r="Y218" s="280">
        <f t="shared" si="434"/>
        <v>-0.51650220466529395</v>
      </c>
      <c r="Z218" s="272"/>
      <c r="AA218" s="272"/>
    </row>
    <row r="219" spans="2:27" x14ac:dyDescent="0.25">
      <c r="D219"/>
      <c r="F219" s="37" t="s">
        <v>660</v>
      </c>
      <c r="G219" s="37" t="s">
        <v>269</v>
      </c>
      <c r="H219" s="276"/>
      <c r="I219" s="276"/>
      <c r="J219" s="281">
        <f t="shared" ref="J219:K219" si="435">SUM(J187:J198,J201:J212)</f>
        <v>0.69838914936034457</v>
      </c>
      <c r="K219" s="281">
        <f t="shared" si="435"/>
        <v>0.69838914936034457</v>
      </c>
      <c r="L219" s="281">
        <f t="shared" ref="L219:M219" si="436">SUM(L187:L198,L201:L212)</f>
        <v>0.72932392770751431</v>
      </c>
      <c r="M219" s="281">
        <f t="shared" si="436"/>
        <v>0.72932392770751431</v>
      </c>
      <c r="N219" s="281">
        <f t="shared" ref="N219:P219" si="437">SUM(N187:N198,N201:N212)</f>
        <v>0.54326912302024566</v>
      </c>
      <c r="O219" s="281">
        <f t="shared" si="437"/>
        <v>0.2620730222910021</v>
      </c>
      <c r="P219" s="281">
        <f t="shared" si="437"/>
        <v>0.1730603787833048</v>
      </c>
      <c r="Q219" s="281">
        <f t="shared" ref="Q219:S219" si="438">SUM(Q187:Q198,Q201:Q212)</f>
        <v>2.7644213867021152</v>
      </c>
      <c r="R219" s="281">
        <f t="shared" si="438"/>
        <v>-0.5006641178425727</v>
      </c>
      <c r="S219" s="281">
        <f t="shared" si="438"/>
        <v>-0.44704928923359355</v>
      </c>
      <c r="T219" s="281">
        <f t="shared" ref="T219:U219" si="439">SUM(T187:T198,T201:T212)</f>
        <v>-0.5006641178425727</v>
      </c>
      <c r="U219" s="281">
        <f t="shared" si="439"/>
        <v>-0.5006641178425727</v>
      </c>
      <c r="V219" s="281">
        <f t="shared" ref="V219:W219" si="440">SUM(V187:V198,V201:V212)</f>
        <v>-0.44704928923359355</v>
      </c>
      <c r="W219" s="281">
        <f t="shared" si="440"/>
        <v>-0.44704928923359355</v>
      </c>
      <c r="X219" s="281">
        <f t="shared" ref="X219:Y219" si="441">SUM(X187:X198,X201:X212)</f>
        <v>-0.23144428706139836</v>
      </c>
      <c r="Y219" s="281">
        <f t="shared" si="441"/>
        <v>-0.23144428706139836</v>
      </c>
      <c r="Z219" s="272"/>
      <c r="AA219" s="272"/>
    </row>
    <row r="221" spans="2:27" x14ac:dyDescent="0.25">
      <c r="B221" s="30" t="s">
        <v>231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25">
      <c r="AA222" s="3"/>
    </row>
    <row r="223" spans="2:27" x14ac:dyDescent="0.25">
      <c r="E223" t="s">
        <v>232</v>
      </c>
      <c r="G223" s="6" t="s">
        <v>55</v>
      </c>
      <c r="H223" s="26">
        <f t="array" ref="H223">SUM(IF(ISERROR(H22:Y219), 1))</f>
        <v>0</v>
      </c>
      <c r="AA223" s="3"/>
    </row>
    <row r="225" spans="2:27" x14ac:dyDescent="0.25">
      <c r="B225" s="30" t="s">
        <v>106</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25">
      <c r="AA226" s="3"/>
    </row>
    <row r="228" spans="2:27" x14ac:dyDescent="0.25">
      <c r="AA228" s="3"/>
    </row>
    <row r="229" spans="2:27" x14ac:dyDescent="0.25">
      <c r="J229" s="63"/>
      <c r="L229" s="63"/>
    </row>
    <row r="230" spans="2:27" x14ac:dyDescent="0.25">
      <c r="J230" s="63"/>
      <c r="L230" s="63"/>
    </row>
    <row r="231" spans="2:27" x14ac:dyDescent="0.25">
      <c r="J231" s="63"/>
      <c r="L231" s="63"/>
    </row>
    <row r="232" spans="2:27" x14ac:dyDescent="0.25">
      <c r="J232" s="63"/>
      <c r="L232" s="63"/>
    </row>
    <row r="233" spans="2:27" x14ac:dyDescent="0.25">
      <c r="J233" s="63"/>
      <c r="L233" s="63"/>
    </row>
    <row r="234" spans="2:27" x14ac:dyDescent="0.25">
      <c r="J234" s="63"/>
      <c r="L234" s="63"/>
    </row>
    <row r="235" spans="2:27" x14ac:dyDescent="0.25">
      <c r="J235" s="63"/>
      <c r="L235" s="63"/>
    </row>
    <row r="236" spans="2:27" x14ac:dyDescent="0.25">
      <c r="J236" s="63"/>
      <c r="L236" s="63"/>
    </row>
    <row r="237" spans="2:27" x14ac:dyDescent="0.25">
      <c r="J237" s="63"/>
      <c r="L237" s="63"/>
    </row>
    <row r="238" spans="2:27" x14ac:dyDescent="0.25">
      <c r="J238" s="63"/>
      <c r="L238" s="63"/>
    </row>
    <row r="239" spans="2:27" x14ac:dyDescent="0.25">
      <c r="J239" s="63"/>
      <c r="L239" s="63"/>
    </row>
    <row r="240" spans="2:27" x14ac:dyDescent="0.25">
      <c r="J240" s="63"/>
      <c r="L240" s="63"/>
    </row>
    <row r="241" spans="10:12" x14ac:dyDescent="0.25">
      <c r="J241" s="63"/>
      <c r="L241" s="63"/>
    </row>
    <row r="242" spans="10:12" x14ac:dyDescent="0.25">
      <c r="J242" s="63"/>
      <c r="L242" s="63"/>
    </row>
    <row r="243" spans="10:12" x14ac:dyDescent="0.25">
      <c r="J243" s="63"/>
      <c r="L243" s="63"/>
    </row>
    <row r="244" spans="10:12" x14ac:dyDescent="0.25">
      <c r="J244" s="63"/>
      <c r="L244" s="63"/>
    </row>
    <row r="245" spans="10:12" x14ac:dyDescent="0.25">
      <c r="J245" s="63"/>
      <c r="L245" s="63"/>
    </row>
    <row r="246" spans="10:12" x14ac:dyDescent="0.25">
      <c r="J246" s="63"/>
      <c r="L246" s="63"/>
    </row>
    <row r="247" spans="10:12" x14ac:dyDescent="0.25">
      <c r="J247" s="63"/>
      <c r="L247" s="63"/>
    </row>
    <row r="248" spans="10:12" x14ac:dyDescent="0.25">
      <c r="J248" s="63"/>
      <c r="L248" s="63"/>
    </row>
    <row r="249" spans="10:12" x14ac:dyDescent="0.25">
      <c r="J249" s="63"/>
      <c r="L249" s="63"/>
    </row>
    <row r="250" spans="10:12" x14ac:dyDescent="0.25">
      <c r="J250" s="63"/>
      <c r="L250" s="63"/>
    </row>
    <row r="251" spans="10:12" x14ac:dyDescent="0.25">
      <c r="J251" s="63"/>
      <c r="L251" s="63"/>
    </row>
    <row r="252" spans="10:12" x14ac:dyDescent="0.25">
      <c r="J252" s="63"/>
      <c r="L252" s="63"/>
    </row>
    <row r="253" spans="10:12" x14ac:dyDescent="0.25">
      <c r="J253" s="63"/>
      <c r="L253" s="63"/>
    </row>
    <row r="254" spans="10:12" x14ac:dyDescent="0.25">
      <c r="J254" s="63"/>
      <c r="L254" s="63"/>
    </row>
    <row r="255" spans="10:12" x14ac:dyDescent="0.25">
      <c r="J255" s="63"/>
      <c r="L255" s="63"/>
    </row>
    <row r="256" spans="10:12" x14ac:dyDescent="0.25">
      <c r="J256" s="63"/>
      <c r="L256" s="63"/>
    </row>
    <row r="257" spans="10:12" x14ac:dyDescent="0.25">
      <c r="J257" s="63"/>
      <c r="L257" s="63"/>
    </row>
    <row r="258" spans="10:12" x14ac:dyDescent="0.25">
      <c r="J258" s="63"/>
      <c r="L258" s="63"/>
    </row>
    <row r="259" spans="10:12" x14ac:dyDescent="0.25">
      <c r="J259" s="63"/>
      <c r="L259" s="63"/>
    </row>
    <row r="260" spans="10:12" x14ac:dyDescent="0.25">
      <c r="J260" s="63"/>
      <c r="L260" s="63"/>
    </row>
    <row r="261" spans="10:12" x14ac:dyDescent="0.25">
      <c r="J261" s="63"/>
      <c r="L261" s="63"/>
    </row>
  </sheetData>
  <sheetProtection sheet="1" objects="1" formatCells="0" formatColumns="0" formatRows="0" sort="0" autoFilter="0"/>
  <conditionalFormatting sqref="H223">
    <cfRule type="cellIs" dxfId="89" priority="10" operator="greaterThan">
      <formula>0</formula>
    </cfRule>
  </conditionalFormatting>
  <conditionalFormatting sqref="A4:I4 Z4:XFD4">
    <cfRule type="expression" dxfId="88" priority="9">
      <formula>LEFT($A$4,1) &lt;&gt; "0"</formula>
    </cfRule>
  </conditionalFormatting>
  <conditionalFormatting sqref="N4:P4">
    <cfRule type="expression" dxfId="87" priority="8">
      <formula>LEFT($A$4,1) &lt;&gt; "0"</formula>
    </cfRule>
  </conditionalFormatting>
  <conditionalFormatting sqref="L4:M4">
    <cfRule type="expression" dxfId="86" priority="7">
      <formula>LEFT($A$4,1) &lt;&gt; "0"</formula>
    </cfRule>
  </conditionalFormatting>
  <conditionalFormatting sqref="J4:K4">
    <cfRule type="expression" dxfId="85" priority="6">
      <formula>LEFT($A$4,1) &lt;&gt; "0"</formula>
    </cfRule>
  </conditionalFormatting>
  <conditionalFormatting sqref="Q4">
    <cfRule type="expression" dxfId="84" priority="5">
      <formula>LEFT($A$4,1) &lt;&gt; "0"</formula>
    </cfRule>
  </conditionalFormatting>
  <conditionalFormatting sqref="R4:S4">
    <cfRule type="expression" dxfId="83" priority="4">
      <formula>LEFT($A$4,1) &lt;&gt; "0"</formula>
    </cfRule>
  </conditionalFormatting>
  <conditionalFormatting sqref="T4:U4">
    <cfRule type="expression" dxfId="82" priority="3">
      <formula>LEFT($A$4,1) &lt;&gt; "0"</formula>
    </cfRule>
  </conditionalFormatting>
  <conditionalFormatting sqref="V4:W4">
    <cfRule type="expression" dxfId="81" priority="2">
      <formula>LEFT($A$4,1) &lt;&gt; "0"</formula>
    </cfRule>
  </conditionalFormatting>
  <conditionalFormatting sqref="X4:Y4">
    <cfRule type="expression" dxfId="80" priority="1">
      <formula>LEFT($A$4,1) &lt;&gt; "0"</formula>
    </cfRule>
  </conditionalFormatting>
  <hyperlinks>
    <hyperlink ref="B5:F5" location="'Model map'!A1" display="Click here to return to model map" xr:uid="{00000000-0004-0000-13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4" tint="0.59999389629810485"/>
    <pageSetUpPr fitToPage="1"/>
  </sheetPr>
  <dimension ref="A1:KY29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1" width="24.5703125" hidden="1" customWidth="1"/>
    <col min="312"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H254 &amp; IF(H254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661</v>
      </c>
      <c r="D9"/>
    </row>
    <row r="10" spans="1:27" x14ac:dyDescent="0.25">
      <c r="C10" s="29" t="s">
        <v>662</v>
      </c>
      <c r="D10"/>
      <c r="E10"/>
    </row>
    <row r="11" spans="1:27" x14ac:dyDescent="0.25">
      <c r="C11" s="91" t="s">
        <v>663</v>
      </c>
    </row>
    <row r="13" spans="1:27" x14ac:dyDescent="0.25">
      <c r="B13" s="30" t="s">
        <v>664</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25">
      <c r="C15" s="29" t="s">
        <v>665</v>
      </c>
    </row>
    <row r="17" spans="3:27" x14ac:dyDescent="0.25">
      <c r="C17" s="31" t="str">
        <f ca="1">INDEX('Version control'!$H$34:$H$57,MATCH($A$1,'Version control'!$F$34:$F$57,0),1)&amp;"-A: Inputs to reactive power charge calculations"</f>
        <v>Section 112-A: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25">
      <c r="C18" s="32"/>
      <c r="D18"/>
      <c r="E18" s="32"/>
    </row>
    <row r="19" spans="3:27" x14ac:dyDescent="0.25">
      <c r="D19" s="32" t="s">
        <v>285</v>
      </c>
    </row>
    <row r="20" spans="3:27" x14ac:dyDescent="0.25">
      <c r="D20" s="29" t="s">
        <v>666</v>
      </c>
      <c r="E20"/>
    </row>
    <row r="21" spans="3:27" x14ac:dyDescent="0.25">
      <c r="C21" s="88"/>
      <c r="E21" s="23" t="s">
        <v>189</v>
      </c>
      <c r="F21" s="23"/>
      <c r="G21" s="23" t="s">
        <v>667</v>
      </c>
      <c r="H21" s="83"/>
    </row>
    <row r="22" spans="3:27" x14ac:dyDescent="0.25">
      <c r="C22" s="88"/>
      <c r="E22" t="s">
        <v>191</v>
      </c>
      <c r="G22" t="s">
        <v>667</v>
      </c>
      <c r="H22" s="120">
        <f t="array" ref="H22:H30">TRANSPOSE('Inputs by network level'!K21:S21)</f>
        <v>0.18106064158300658</v>
      </c>
    </row>
    <row r="23" spans="3:27" x14ac:dyDescent="0.25">
      <c r="C23" s="88"/>
      <c r="E23" t="s">
        <v>192</v>
      </c>
      <c r="G23" t="s">
        <v>667</v>
      </c>
      <c r="H23" s="120">
        <v>0</v>
      </c>
    </row>
    <row r="24" spans="3:27" x14ac:dyDescent="0.25">
      <c r="C24" s="88"/>
      <c r="E24" t="s">
        <v>193</v>
      </c>
      <c r="G24" t="s">
        <v>667</v>
      </c>
      <c r="H24" s="120">
        <v>0</v>
      </c>
    </row>
    <row r="25" spans="3:27" x14ac:dyDescent="0.25">
      <c r="C25" s="88"/>
      <c r="E25" t="s">
        <v>194</v>
      </c>
      <c r="G25" t="s">
        <v>667</v>
      </c>
      <c r="H25" s="120">
        <v>0.18106064158300658</v>
      </c>
    </row>
    <row r="26" spans="3:27" x14ac:dyDescent="0.25">
      <c r="C26" s="88"/>
      <c r="E26" t="s">
        <v>195</v>
      </c>
      <c r="G26" t="s">
        <v>667</v>
      </c>
      <c r="H26" s="120">
        <v>0.18106064158300658</v>
      </c>
    </row>
    <row r="27" spans="3:27" x14ac:dyDescent="0.25">
      <c r="C27" s="88"/>
      <c r="E27" t="s">
        <v>196</v>
      </c>
      <c r="G27" t="s">
        <v>667</v>
      </c>
      <c r="H27" s="120">
        <v>0</v>
      </c>
    </row>
    <row r="28" spans="3:27" x14ac:dyDescent="0.25">
      <c r="C28" s="88"/>
      <c r="E28" t="s">
        <v>197</v>
      </c>
      <c r="G28" t="s">
        <v>667</v>
      </c>
      <c r="H28" s="120">
        <v>0.18106064158300658</v>
      </c>
    </row>
    <row r="29" spans="3:27" x14ac:dyDescent="0.25">
      <c r="C29" s="88"/>
      <c r="E29" t="s">
        <v>198</v>
      </c>
      <c r="G29" t="s">
        <v>667</v>
      </c>
      <c r="H29" s="120">
        <v>0.18106064158300658</v>
      </c>
    </row>
    <row r="30" spans="3:27" x14ac:dyDescent="0.25">
      <c r="C30" s="88"/>
      <c r="E30" t="s">
        <v>199</v>
      </c>
      <c r="G30" t="s">
        <v>667</v>
      </c>
      <c r="H30" s="120">
        <v>0.18106064158300658</v>
      </c>
    </row>
    <row r="31" spans="3:27" x14ac:dyDescent="0.25">
      <c r="C31" s="88"/>
      <c r="E31" t="s">
        <v>376</v>
      </c>
      <c r="G31" t="s">
        <v>667</v>
      </c>
      <c r="H31" s="79"/>
    </row>
    <row r="32" spans="3:27" x14ac:dyDescent="0.25">
      <c r="C32" s="88"/>
      <c r="E32" s="37" t="s">
        <v>377</v>
      </c>
      <c r="F32" s="37"/>
      <c r="G32" s="37" t="s">
        <v>667</v>
      </c>
      <c r="H32" s="81"/>
    </row>
    <row r="33" spans="3:8" x14ac:dyDescent="0.25">
      <c r="C33" s="88"/>
      <c r="H33" s="89"/>
    </row>
    <row r="34" spans="3:8" x14ac:dyDescent="0.25">
      <c r="D34" s="88" t="s">
        <v>394</v>
      </c>
      <c r="H34" s="89"/>
    </row>
    <row r="35" spans="3:8" x14ac:dyDescent="0.25">
      <c r="C35" s="88"/>
      <c r="E35" s="23" t="s">
        <v>189</v>
      </c>
      <c r="F35" s="23"/>
      <c r="G35" s="64" t="s">
        <v>283</v>
      </c>
      <c r="H35" s="124">
        <f t="array" ref="H35:H44">TRANSPOSE('Load &amp; loss characteristics'!J29:S29)</f>
        <v>1</v>
      </c>
    </row>
    <row r="36" spans="3:8" x14ac:dyDescent="0.25">
      <c r="C36" s="88"/>
      <c r="E36" t="s">
        <v>191</v>
      </c>
      <c r="G36" s="28" t="s">
        <v>283</v>
      </c>
      <c r="H36" s="120">
        <v>1</v>
      </c>
    </row>
    <row r="37" spans="3:8" x14ac:dyDescent="0.25">
      <c r="C37" s="88"/>
      <c r="E37" t="s">
        <v>192</v>
      </c>
      <c r="G37" s="28" t="s">
        <v>283</v>
      </c>
      <c r="H37" s="120">
        <v>1</v>
      </c>
    </row>
    <row r="38" spans="3:8" x14ac:dyDescent="0.25">
      <c r="C38" s="88"/>
      <c r="E38" t="s">
        <v>193</v>
      </c>
      <c r="G38" s="28" t="s">
        <v>283</v>
      </c>
      <c r="H38" s="120">
        <v>1</v>
      </c>
    </row>
    <row r="39" spans="3:8" x14ac:dyDescent="0.25">
      <c r="C39" s="88"/>
      <c r="E39" t="s">
        <v>194</v>
      </c>
      <c r="G39" s="28" t="s">
        <v>283</v>
      </c>
      <c r="H39" s="120">
        <v>1.014</v>
      </c>
    </row>
    <row r="40" spans="3:8" x14ac:dyDescent="0.25">
      <c r="C40" s="88"/>
      <c r="E40" t="s">
        <v>195</v>
      </c>
      <c r="G40" s="28" t="s">
        <v>283</v>
      </c>
      <c r="H40" s="120">
        <v>1.026</v>
      </c>
    </row>
    <row r="41" spans="3:8" x14ac:dyDescent="0.25">
      <c r="C41" s="88"/>
      <c r="E41" t="s">
        <v>196</v>
      </c>
      <c r="G41" s="28" t="s">
        <v>283</v>
      </c>
      <c r="H41" s="120">
        <v>1.026</v>
      </c>
    </row>
    <row r="42" spans="3:8" x14ac:dyDescent="0.25">
      <c r="C42" s="88"/>
      <c r="E42" t="s">
        <v>197</v>
      </c>
      <c r="G42" s="28" t="s">
        <v>283</v>
      </c>
      <c r="H42" s="120">
        <v>1.036</v>
      </c>
    </row>
    <row r="43" spans="3:8" x14ac:dyDescent="0.25">
      <c r="C43" s="88"/>
      <c r="E43" t="s">
        <v>198</v>
      </c>
      <c r="G43" s="28" t="s">
        <v>283</v>
      </c>
      <c r="H43" s="120">
        <v>1.0589999999999999</v>
      </c>
    </row>
    <row r="44" spans="3:8" x14ac:dyDescent="0.25">
      <c r="C44" s="88"/>
      <c r="E44" t="s">
        <v>199</v>
      </c>
      <c r="G44" s="28" t="s">
        <v>283</v>
      </c>
      <c r="H44" s="120">
        <v>1.093</v>
      </c>
    </row>
    <row r="45" spans="3:8" x14ac:dyDescent="0.25">
      <c r="C45" s="88"/>
      <c r="E45" t="s">
        <v>376</v>
      </c>
      <c r="G45" s="28" t="s">
        <v>283</v>
      </c>
      <c r="H45" s="79"/>
    </row>
    <row r="46" spans="3:8" x14ac:dyDescent="0.25">
      <c r="C46" s="88"/>
      <c r="E46" s="37" t="s">
        <v>377</v>
      </c>
      <c r="F46" s="37"/>
      <c r="G46" s="67" t="s">
        <v>283</v>
      </c>
      <c r="H46" s="81"/>
    </row>
    <row r="47" spans="3:8" x14ac:dyDescent="0.25">
      <c r="C47" s="88"/>
      <c r="H47" s="89"/>
    </row>
    <row r="48" spans="3:8" x14ac:dyDescent="0.25">
      <c r="D48" s="32" t="s">
        <v>668</v>
      </c>
      <c r="H48" s="89"/>
    </row>
    <row r="49" spans="3:8" x14ac:dyDescent="0.25">
      <c r="C49" s="88"/>
      <c r="E49" s="23" t="s">
        <v>189</v>
      </c>
      <c r="F49" s="23"/>
      <c r="G49" s="23" t="s">
        <v>585</v>
      </c>
      <c r="H49" s="83"/>
    </row>
    <row r="50" spans="3:8" x14ac:dyDescent="0.25">
      <c r="C50" s="88"/>
      <c r="E50" t="s">
        <v>191</v>
      </c>
      <c r="G50" t="s">
        <v>585</v>
      </c>
      <c r="H50" s="79"/>
    </row>
    <row r="51" spans="3:8" x14ac:dyDescent="0.25">
      <c r="C51" s="88"/>
      <c r="E51" t="s">
        <v>192</v>
      </c>
      <c r="G51" t="s">
        <v>585</v>
      </c>
      <c r="H51" s="120">
        <f t="array" ref="H51:H58">TRANSPOSE('Unit costs'!L114:S114)</f>
        <v>0</v>
      </c>
    </row>
    <row r="52" spans="3:8" x14ac:dyDescent="0.25">
      <c r="C52" s="88"/>
      <c r="E52" t="s">
        <v>193</v>
      </c>
      <c r="G52" t="s">
        <v>585</v>
      </c>
      <c r="H52" s="120">
        <v>0</v>
      </c>
    </row>
    <row r="53" spans="3:8" x14ac:dyDescent="0.25">
      <c r="C53" s="88"/>
      <c r="E53" t="s">
        <v>194</v>
      </c>
      <c r="G53" t="s">
        <v>585</v>
      </c>
      <c r="H53" s="120">
        <v>8.5499130321142616</v>
      </c>
    </row>
    <row r="54" spans="3:8" x14ac:dyDescent="0.25">
      <c r="C54" s="88"/>
      <c r="E54" t="s">
        <v>195</v>
      </c>
      <c r="G54" t="s">
        <v>585</v>
      </c>
      <c r="H54" s="120">
        <v>7.827479186324136</v>
      </c>
    </row>
    <row r="55" spans="3:8" x14ac:dyDescent="0.25">
      <c r="C55" s="88"/>
      <c r="E55" t="s">
        <v>196</v>
      </c>
      <c r="G55" t="s">
        <v>585</v>
      </c>
      <c r="H55" s="120">
        <v>0</v>
      </c>
    </row>
    <row r="56" spans="3:8" x14ac:dyDescent="0.25">
      <c r="C56" s="88"/>
      <c r="E56" t="s">
        <v>197</v>
      </c>
      <c r="G56" t="s">
        <v>585</v>
      </c>
      <c r="H56" s="120">
        <v>32.660389396188918</v>
      </c>
    </row>
    <row r="57" spans="3:8" x14ac:dyDescent="0.25">
      <c r="C57" s="88"/>
      <c r="E57" t="s">
        <v>198</v>
      </c>
      <c r="G57" t="s">
        <v>585</v>
      </c>
      <c r="H57" s="120">
        <v>8.0843451240730904</v>
      </c>
    </row>
    <row r="58" spans="3:8" x14ac:dyDescent="0.25">
      <c r="C58" s="88"/>
      <c r="E58" t="s">
        <v>199</v>
      </c>
      <c r="G58" t="s">
        <v>585</v>
      </c>
      <c r="H58" s="120">
        <v>19.80682280455267</v>
      </c>
    </row>
    <row r="59" spans="3:8" x14ac:dyDescent="0.25">
      <c r="C59" s="88"/>
      <c r="E59" t="s">
        <v>376</v>
      </c>
      <c r="G59" t="s">
        <v>585</v>
      </c>
      <c r="H59" s="79"/>
    </row>
    <row r="60" spans="3:8" x14ac:dyDescent="0.25">
      <c r="C60" s="88"/>
      <c r="E60" s="37" t="s">
        <v>377</v>
      </c>
      <c r="F60" s="37"/>
      <c r="G60" s="37" t="s">
        <v>585</v>
      </c>
      <c r="H60" s="81"/>
    </row>
    <row r="61" spans="3:8" x14ac:dyDescent="0.25">
      <c r="C61" s="88"/>
      <c r="H61" s="89"/>
    </row>
    <row r="62" spans="3:8" x14ac:dyDescent="0.25">
      <c r="C62" s="88"/>
      <c r="D62" s="32" t="s">
        <v>669</v>
      </c>
      <c r="E62"/>
      <c r="H62" s="89"/>
    </row>
    <row r="63" spans="3:8" x14ac:dyDescent="0.25">
      <c r="C63" s="88"/>
      <c r="E63" s="23" t="s">
        <v>189</v>
      </c>
      <c r="F63" s="23"/>
      <c r="G63" s="23" t="s">
        <v>585</v>
      </c>
      <c r="H63" s="124">
        <f t="array" ref="H63:H72">TRANSPOSE('Unit costs'!J115:S115)</f>
        <v>24.747806029526803</v>
      </c>
    </row>
    <row r="64" spans="3:8" x14ac:dyDescent="0.25">
      <c r="C64" s="88"/>
      <c r="E64" t="s">
        <v>191</v>
      </c>
      <c r="G64" t="s">
        <v>585</v>
      </c>
      <c r="H64" s="120">
        <v>0</v>
      </c>
    </row>
    <row r="65" spans="3:42" x14ac:dyDescent="0.25">
      <c r="C65" s="88"/>
      <c r="E65" t="s">
        <v>192</v>
      </c>
      <c r="G65" t="s">
        <v>585</v>
      </c>
      <c r="H65" s="120">
        <v>0</v>
      </c>
    </row>
    <row r="66" spans="3:42" x14ac:dyDescent="0.25">
      <c r="C66" s="88"/>
      <c r="E66" t="s">
        <v>193</v>
      </c>
      <c r="G66" t="s">
        <v>585</v>
      </c>
      <c r="H66" s="120">
        <v>0</v>
      </c>
    </row>
    <row r="67" spans="3:42" x14ac:dyDescent="0.25">
      <c r="C67" s="88"/>
      <c r="E67" t="s">
        <v>194</v>
      </c>
      <c r="G67" t="s">
        <v>585</v>
      </c>
      <c r="H67" s="120">
        <v>7.1912626022528343</v>
      </c>
    </row>
    <row r="68" spans="3:42" x14ac:dyDescent="0.25">
      <c r="C68" s="88"/>
      <c r="E68" t="s">
        <v>195</v>
      </c>
      <c r="G68" t="s">
        <v>585</v>
      </c>
      <c r="H68" s="120">
        <v>6.5836293458303965</v>
      </c>
    </row>
    <row r="69" spans="3:42" x14ac:dyDescent="0.25">
      <c r="C69" s="88"/>
      <c r="E69" t="s">
        <v>196</v>
      </c>
      <c r="G69" t="s">
        <v>585</v>
      </c>
      <c r="H69" s="120">
        <v>0</v>
      </c>
    </row>
    <row r="70" spans="3:42" x14ac:dyDescent="0.25">
      <c r="C70" s="88"/>
      <c r="E70" t="s">
        <v>197</v>
      </c>
      <c r="G70" t="s">
        <v>585</v>
      </c>
      <c r="H70" s="120">
        <v>27.470388991985899</v>
      </c>
    </row>
    <row r="71" spans="3:42" x14ac:dyDescent="0.25">
      <c r="C71" s="88"/>
      <c r="E71" t="s">
        <v>198</v>
      </c>
      <c r="G71" t="s">
        <v>585</v>
      </c>
      <c r="H71" s="120">
        <v>6.7996772056142847</v>
      </c>
    </row>
    <row r="72" spans="3:42" x14ac:dyDescent="0.25">
      <c r="C72" s="88"/>
      <c r="E72" t="s">
        <v>199</v>
      </c>
      <c r="G72" t="s">
        <v>585</v>
      </c>
      <c r="H72" s="120">
        <v>16.659358237776829</v>
      </c>
    </row>
    <row r="73" spans="3:42" x14ac:dyDescent="0.25">
      <c r="C73" s="88"/>
      <c r="E73" t="s">
        <v>376</v>
      </c>
      <c r="G73" t="s">
        <v>585</v>
      </c>
      <c r="H73" s="79"/>
    </row>
    <row r="74" spans="3:42" x14ac:dyDescent="0.25">
      <c r="C74" s="88"/>
      <c r="E74" s="37" t="s">
        <v>377</v>
      </c>
      <c r="F74" s="37"/>
      <c r="G74" s="37" t="s">
        <v>585</v>
      </c>
      <c r="H74" s="81"/>
    </row>
    <row r="75" spans="3:42" x14ac:dyDescent="0.25">
      <c r="C75" s="88"/>
      <c r="H75" s="63"/>
    </row>
    <row r="76" spans="3:42" x14ac:dyDescent="0.25">
      <c r="D76" s="88" t="s">
        <v>670</v>
      </c>
    </row>
    <row r="77" spans="3:42" x14ac:dyDescent="0.25">
      <c r="D77" s="29" t="s">
        <v>671</v>
      </c>
      <c r="E77" s="203"/>
    </row>
    <row r="78" spans="3:42" x14ac:dyDescent="0.25">
      <c r="C78" s="88"/>
      <c r="E78" t="s">
        <v>672</v>
      </c>
      <c r="G78" t="s">
        <v>673</v>
      </c>
      <c r="I78" t="s">
        <v>154</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223</v>
      </c>
    </row>
    <row r="79" spans="3:42" x14ac:dyDescent="0.25">
      <c r="C79" s="88"/>
    </row>
    <row r="80" spans="3:42" x14ac:dyDescent="0.25">
      <c r="D80" s="32" t="s">
        <v>120</v>
      </c>
      <c r="E80"/>
      <c r="H80" s="14"/>
      <c r="J80" s="63"/>
      <c r="K80" s="63"/>
      <c r="L80" s="63"/>
      <c r="M80" s="63"/>
      <c r="N80" s="63"/>
      <c r="O80" s="63"/>
      <c r="P80" s="63"/>
      <c r="Q80" s="63"/>
      <c r="R80" s="63"/>
      <c r="S80" s="63"/>
      <c r="T80" s="63"/>
      <c r="U80" s="63"/>
      <c r="V80" s="63"/>
      <c r="W80" s="63"/>
      <c r="X80" s="63"/>
      <c r="Y80" s="63"/>
      <c r="AP80" s="3"/>
    </row>
    <row r="81" spans="3:42" x14ac:dyDescent="0.25">
      <c r="C81" s="32"/>
      <c r="D81"/>
      <c r="E81" s="23" t="s">
        <v>191</v>
      </c>
      <c r="F81" s="23"/>
      <c r="G81" s="23" t="s">
        <v>167</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25">
      <c r="C82" s="32"/>
      <c r="D82"/>
      <c r="E82" t="s">
        <v>192</v>
      </c>
      <c r="G82" t="s">
        <v>167</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25">
      <c r="C83" s="32"/>
      <c r="D83"/>
      <c r="E83" t="s">
        <v>193</v>
      </c>
      <c r="G83" t="s">
        <v>167</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25">
      <c r="C84" s="32"/>
      <c r="D84"/>
      <c r="E84" t="s">
        <v>194</v>
      </c>
      <c r="G84" t="s">
        <v>167</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25">
      <c r="C85" s="32"/>
      <c r="D85"/>
      <c r="E85" t="s">
        <v>195</v>
      </c>
      <c r="G85" t="s">
        <v>167</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25">
      <c r="C86" s="32"/>
      <c r="D86"/>
      <c r="E86" t="s">
        <v>196</v>
      </c>
      <c r="G86" t="s">
        <v>167</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25">
      <c r="C87" s="32"/>
      <c r="D87"/>
      <c r="E87" t="s">
        <v>197</v>
      </c>
      <c r="G87" t="s">
        <v>167</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25">
      <c r="C88" s="32"/>
      <c r="D88"/>
      <c r="E88" t="s">
        <v>198</v>
      </c>
      <c r="G88" t="s">
        <v>167</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25">
      <c r="C89" s="32"/>
      <c r="D89"/>
      <c r="E89" s="37" t="s">
        <v>199</v>
      </c>
      <c r="F89" s="37"/>
      <c r="G89" s="37" t="s">
        <v>167</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25">
      <c r="C90" s="88"/>
    </row>
    <row r="91" spans="3:42" x14ac:dyDescent="0.25">
      <c r="D91" s="32" t="s">
        <v>404</v>
      </c>
      <c r="E91" s="32"/>
      <c r="I91" t="s">
        <v>154</v>
      </c>
      <c r="AA91" t="s">
        <v>674</v>
      </c>
    </row>
    <row r="92" spans="3:42" x14ac:dyDescent="0.25">
      <c r="D92" s="29" t="s">
        <v>401</v>
      </c>
      <c r="E92"/>
      <c r="AA92" s="204"/>
    </row>
    <row r="93" spans="3:42" x14ac:dyDescent="0.25">
      <c r="D93"/>
      <c r="E93" s="23" t="s">
        <v>189</v>
      </c>
      <c r="F93" s="23"/>
      <c r="G93" s="64" t="s">
        <v>283</v>
      </c>
      <c r="H93" s="23"/>
      <c r="I93" s="23"/>
      <c r="J93" s="83"/>
      <c r="K93" s="83"/>
      <c r="L93" s="83"/>
      <c r="M93" s="83"/>
      <c r="N93" s="83"/>
      <c r="O93" s="83"/>
      <c r="P93" s="83"/>
      <c r="Q93" s="83"/>
      <c r="R93" s="124">
        <f t="array" ref="R93:Y102">TRANSPOSE('Load &amp; loss characteristics'!J172:S179)</f>
        <v>-1.093</v>
      </c>
      <c r="S93" s="124">
        <v>-1.0589999999999999</v>
      </c>
      <c r="T93" s="124">
        <v>-1.093</v>
      </c>
      <c r="U93" s="124">
        <v>-1.093</v>
      </c>
      <c r="V93" s="124">
        <v>-1.0589999999999999</v>
      </c>
      <c r="W93" s="124">
        <v>-1.0589999999999999</v>
      </c>
      <c r="X93" s="124">
        <v>-1.036</v>
      </c>
      <c r="Y93" s="124">
        <v>-1.036</v>
      </c>
    </row>
    <row r="94" spans="3:42" x14ac:dyDescent="0.25">
      <c r="D94"/>
      <c r="E94" t="s">
        <v>191</v>
      </c>
      <c r="G94" s="28" t="s">
        <v>283</v>
      </c>
      <c r="J94" s="79"/>
      <c r="K94" s="79"/>
      <c r="L94" s="79"/>
      <c r="M94" s="79"/>
      <c r="N94" s="79"/>
      <c r="O94" s="79"/>
      <c r="P94" s="79"/>
      <c r="Q94" s="79"/>
      <c r="R94" s="120">
        <v>-1.093</v>
      </c>
      <c r="S94" s="120">
        <v>-1.0589999999999999</v>
      </c>
      <c r="T94" s="120">
        <v>-1.093</v>
      </c>
      <c r="U94" s="120">
        <v>-1.093</v>
      </c>
      <c r="V94" s="120">
        <v>-1.0589999999999999</v>
      </c>
      <c r="W94" s="120">
        <v>-1.0589999999999999</v>
      </c>
      <c r="X94" s="120">
        <v>-1.036</v>
      </c>
      <c r="Y94" s="120">
        <v>-1.036</v>
      </c>
    </row>
    <row r="95" spans="3:42" x14ac:dyDescent="0.25">
      <c r="D95"/>
      <c r="E95" t="s">
        <v>192</v>
      </c>
      <c r="G95" s="28" t="s">
        <v>283</v>
      </c>
      <c r="J95" s="79"/>
      <c r="K95" s="79"/>
      <c r="L95" s="79"/>
      <c r="M95" s="79"/>
      <c r="N95" s="79"/>
      <c r="O95" s="79"/>
      <c r="P95" s="79"/>
      <c r="Q95" s="79"/>
      <c r="R95" s="120">
        <v>-1.093</v>
      </c>
      <c r="S95" s="120">
        <v>-1.0589999999999999</v>
      </c>
      <c r="T95" s="120">
        <v>-1.093</v>
      </c>
      <c r="U95" s="120">
        <v>-1.093</v>
      </c>
      <c r="V95" s="120">
        <v>-1.0589999999999999</v>
      </c>
      <c r="W95" s="120">
        <v>-1.0589999999999999</v>
      </c>
      <c r="X95" s="120">
        <v>-1.036</v>
      </c>
      <c r="Y95" s="120">
        <v>-1.036</v>
      </c>
    </row>
    <row r="96" spans="3:42" x14ac:dyDescent="0.25">
      <c r="D96"/>
      <c r="E96" t="s">
        <v>193</v>
      </c>
      <c r="G96" s="28" t="s">
        <v>283</v>
      </c>
      <c r="J96" s="79"/>
      <c r="K96" s="79"/>
      <c r="L96" s="79"/>
      <c r="M96" s="79"/>
      <c r="N96" s="79"/>
      <c r="O96" s="79"/>
      <c r="P96" s="79"/>
      <c r="Q96" s="79"/>
      <c r="R96" s="120">
        <v>-1.093</v>
      </c>
      <c r="S96" s="120">
        <v>-1.0589999999999999</v>
      </c>
      <c r="T96" s="120">
        <v>-1.093</v>
      </c>
      <c r="U96" s="120">
        <v>-1.093</v>
      </c>
      <c r="V96" s="120">
        <v>-1.0589999999999999</v>
      </c>
      <c r="W96" s="120">
        <v>-1.0589999999999999</v>
      </c>
      <c r="X96" s="120">
        <v>-1.036</v>
      </c>
      <c r="Y96" s="120">
        <v>-1.036</v>
      </c>
    </row>
    <row r="97" spans="3:25" x14ac:dyDescent="0.25">
      <c r="D97"/>
      <c r="E97" t="s">
        <v>194</v>
      </c>
      <c r="G97" s="28" t="s">
        <v>283</v>
      </c>
      <c r="J97" s="79"/>
      <c r="K97" s="79"/>
      <c r="L97" s="79"/>
      <c r="M97" s="79"/>
      <c r="N97" s="79"/>
      <c r="O97" s="79"/>
      <c r="P97" s="79"/>
      <c r="Q97" s="79"/>
      <c r="R97" s="120">
        <v>-1.093</v>
      </c>
      <c r="S97" s="120">
        <v>-1.0589999999999999</v>
      </c>
      <c r="T97" s="120">
        <v>-1.093</v>
      </c>
      <c r="U97" s="120">
        <v>-1.093</v>
      </c>
      <c r="V97" s="120">
        <v>-1.0589999999999999</v>
      </c>
      <c r="W97" s="120">
        <v>-1.0589999999999999</v>
      </c>
      <c r="X97" s="120">
        <v>-1.036</v>
      </c>
      <c r="Y97" s="120">
        <v>-1.036</v>
      </c>
    </row>
    <row r="98" spans="3:25" x14ac:dyDescent="0.25">
      <c r="D98"/>
      <c r="E98" t="s">
        <v>195</v>
      </c>
      <c r="G98" s="28" t="s">
        <v>283</v>
      </c>
      <c r="J98" s="79"/>
      <c r="K98" s="79"/>
      <c r="L98" s="79"/>
      <c r="M98" s="79"/>
      <c r="N98" s="79"/>
      <c r="O98" s="79"/>
      <c r="P98" s="79"/>
      <c r="Q98" s="79"/>
      <c r="R98" s="120">
        <v>-1.093</v>
      </c>
      <c r="S98" s="120">
        <v>-1.0589999999999999</v>
      </c>
      <c r="T98" s="120">
        <v>-1.093</v>
      </c>
      <c r="U98" s="120">
        <v>-1.093</v>
      </c>
      <c r="V98" s="120">
        <v>-1.0589999999999999</v>
      </c>
      <c r="W98" s="120">
        <v>-1.0589999999999999</v>
      </c>
      <c r="X98" s="120">
        <v>-1.036</v>
      </c>
      <c r="Y98" s="120">
        <v>-1.036</v>
      </c>
    </row>
    <row r="99" spans="3:25" x14ac:dyDescent="0.25">
      <c r="D99"/>
      <c r="E99" t="s">
        <v>196</v>
      </c>
      <c r="G99" s="28" t="s">
        <v>283</v>
      </c>
      <c r="J99" s="79"/>
      <c r="K99" s="79"/>
      <c r="L99" s="79"/>
      <c r="M99" s="79"/>
      <c r="N99" s="79"/>
      <c r="O99" s="79"/>
      <c r="P99" s="79"/>
      <c r="Q99" s="79"/>
      <c r="R99" s="120">
        <v>0</v>
      </c>
      <c r="S99" s="120">
        <v>0</v>
      </c>
      <c r="T99" s="120">
        <v>0</v>
      </c>
      <c r="U99" s="120">
        <v>0</v>
      </c>
      <c r="V99" s="120">
        <v>0</v>
      </c>
      <c r="W99" s="120">
        <v>0</v>
      </c>
      <c r="X99" s="120">
        <v>0</v>
      </c>
      <c r="Y99" s="120">
        <v>0</v>
      </c>
    </row>
    <row r="100" spans="3:25" x14ac:dyDescent="0.25">
      <c r="D100"/>
      <c r="E100" t="s">
        <v>197</v>
      </c>
      <c r="G100" s="28" t="s">
        <v>283</v>
      </c>
      <c r="J100" s="79"/>
      <c r="K100" s="79"/>
      <c r="L100" s="79"/>
      <c r="M100" s="79"/>
      <c r="N100" s="79"/>
      <c r="O100" s="79"/>
      <c r="P100" s="79"/>
      <c r="Q100" s="79"/>
      <c r="R100" s="120">
        <v>-1.093</v>
      </c>
      <c r="S100" s="120">
        <v>-1.0589999999999999</v>
      </c>
      <c r="T100" s="120">
        <v>-1.093</v>
      </c>
      <c r="U100" s="120">
        <v>-1.093</v>
      </c>
      <c r="V100" s="120">
        <v>-1.0589999999999999</v>
      </c>
      <c r="W100" s="120">
        <v>-1.0589999999999999</v>
      </c>
      <c r="X100" s="120">
        <v>-1.036</v>
      </c>
      <c r="Y100" s="120">
        <v>-1.036</v>
      </c>
    </row>
    <row r="101" spans="3:25" x14ac:dyDescent="0.25">
      <c r="D101"/>
      <c r="E101" t="s">
        <v>198</v>
      </c>
      <c r="G101" s="28" t="s">
        <v>283</v>
      </c>
      <c r="J101" s="79"/>
      <c r="K101" s="79"/>
      <c r="L101" s="79"/>
      <c r="M101" s="79"/>
      <c r="N101" s="79"/>
      <c r="O101" s="79"/>
      <c r="P101" s="79"/>
      <c r="Q101" s="79"/>
      <c r="R101" s="120">
        <v>-1.093</v>
      </c>
      <c r="S101" s="120">
        <v>-1.0589999999999999</v>
      </c>
      <c r="T101" s="120">
        <v>-1.093</v>
      </c>
      <c r="U101" s="120">
        <v>-1.093</v>
      </c>
      <c r="V101" s="120">
        <v>-1.0589999999999999</v>
      </c>
      <c r="W101" s="120">
        <v>-1.0589999999999999</v>
      </c>
      <c r="X101" s="120">
        <v>0</v>
      </c>
      <c r="Y101" s="120">
        <v>0</v>
      </c>
    </row>
    <row r="102" spans="3:25" x14ac:dyDescent="0.25">
      <c r="D102"/>
      <c r="E102" t="s">
        <v>199</v>
      </c>
      <c r="G102" s="28" t="s">
        <v>283</v>
      </c>
      <c r="J102" s="79"/>
      <c r="K102" s="79"/>
      <c r="L102" s="79"/>
      <c r="M102" s="79"/>
      <c r="N102" s="79"/>
      <c r="O102" s="79"/>
      <c r="P102" s="79"/>
      <c r="Q102" s="79"/>
      <c r="R102" s="120">
        <v>-1.093</v>
      </c>
      <c r="S102" s="120">
        <v>0</v>
      </c>
      <c r="T102" s="120">
        <v>-1.093</v>
      </c>
      <c r="U102" s="120">
        <v>-1.093</v>
      </c>
      <c r="V102" s="120">
        <v>0</v>
      </c>
      <c r="W102" s="120">
        <v>0</v>
      </c>
      <c r="X102" s="120">
        <v>0</v>
      </c>
      <c r="Y102" s="120">
        <v>0</v>
      </c>
    </row>
    <row r="103" spans="3:25" x14ac:dyDescent="0.25">
      <c r="D103"/>
      <c r="E103" t="s">
        <v>376</v>
      </c>
      <c r="G103" s="28" t="s">
        <v>283</v>
      </c>
      <c r="J103" s="79"/>
      <c r="K103" s="79"/>
      <c r="L103" s="79"/>
      <c r="M103" s="79"/>
      <c r="N103" s="79"/>
      <c r="O103" s="79"/>
      <c r="P103" s="79"/>
      <c r="Q103" s="79"/>
      <c r="R103" s="79"/>
      <c r="S103" s="79"/>
      <c r="T103" s="79"/>
      <c r="U103" s="79"/>
      <c r="V103" s="79"/>
      <c r="W103" s="79"/>
      <c r="X103" s="79"/>
      <c r="Y103" s="79"/>
    </row>
    <row r="104" spans="3:25" x14ac:dyDescent="0.25">
      <c r="D104"/>
      <c r="E104" s="37" t="s">
        <v>377</v>
      </c>
      <c r="F104" s="37"/>
      <c r="G104" s="67" t="s">
        <v>283</v>
      </c>
      <c r="H104" s="37"/>
      <c r="I104" s="37"/>
      <c r="J104" s="81"/>
      <c r="K104" s="81"/>
      <c r="L104" s="81"/>
      <c r="M104" s="81"/>
      <c r="N104" s="81"/>
      <c r="O104" s="81"/>
      <c r="P104" s="81"/>
      <c r="Q104" s="81"/>
      <c r="R104" s="81"/>
      <c r="S104" s="81"/>
      <c r="T104" s="81"/>
      <c r="U104" s="81"/>
      <c r="V104" s="81"/>
      <c r="W104" s="81"/>
      <c r="X104" s="81"/>
      <c r="Y104" s="81"/>
    </row>
    <row r="105" spans="3:25" x14ac:dyDescent="0.25">
      <c r="C105" s="88"/>
    </row>
    <row r="106" spans="3:25" x14ac:dyDescent="0.25">
      <c r="D106" s="32" t="s">
        <v>416</v>
      </c>
      <c r="E106"/>
    </row>
    <row r="107" spans="3:25" x14ac:dyDescent="0.25">
      <c r="C107" s="88"/>
      <c r="E107" s="23" t="s">
        <v>189</v>
      </c>
      <c r="F107" s="23"/>
      <c r="G107" s="23" t="s">
        <v>167</v>
      </c>
      <c r="H107" s="23"/>
      <c r="I107" s="23"/>
      <c r="J107" s="65"/>
      <c r="K107" s="65"/>
      <c r="L107" s="65"/>
      <c r="M107" s="65"/>
      <c r="N107" s="65"/>
      <c r="O107" s="65"/>
      <c r="P107" s="65"/>
      <c r="Q107" s="65"/>
      <c r="R107" s="65"/>
      <c r="S107" s="65"/>
      <c r="T107" s="65"/>
      <c r="U107" s="65"/>
      <c r="V107" s="65"/>
      <c r="W107" s="65"/>
      <c r="X107" s="65"/>
      <c r="Y107" s="65"/>
    </row>
    <row r="108" spans="3:25" x14ac:dyDescent="0.25">
      <c r="C108" s="88"/>
      <c r="E108" t="s">
        <v>191</v>
      </c>
      <c r="G108" t="s">
        <v>167</v>
      </c>
      <c r="J108" s="66"/>
      <c r="K108" s="66"/>
      <c r="L108" s="66"/>
      <c r="M108" s="66"/>
      <c r="N108" s="66"/>
      <c r="O108" s="66"/>
      <c r="P108" s="66"/>
      <c r="Q108" s="66"/>
      <c r="R108" s="66"/>
      <c r="S108" s="66"/>
      <c r="T108" s="66"/>
      <c r="U108" s="66"/>
      <c r="V108" s="66"/>
      <c r="W108" s="66"/>
      <c r="X108" s="66"/>
      <c r="Y108" s="66"/>
    </row>
    <row r="109" spans="3:25" x14ac:dyDescent="0.25">
      <c r="C109" s="88"/>
      <c r="E109" t="s">
        <v>192</v>
      </c>
      <c r="G109" t="s">
        <v>167</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25">
      <c r="C110" s="88"/>
      <c r="E110" t="s">
        <v>193</v>
      </c>
      <c r="G110" t="s">
        <v>167</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row>
    <row r="111" spans="3:25" x14ac:dyDescent="0.25">
      <c r="C111" s="88"/>
      <c r="E111" t="s">
        <v>194</v>
      </c>
      <c r="G111" t="s">
        <v>167</v>
      </c>
      <c r="J111" s="25">
        <v>6.4338235294117696E-3</v>
      </c>
      <c r="K111" s="25">
        <v>6.4338235294117696E-3</v>
      </c>
      <c r="L111" s="25">
        <v>6.4338235294117696E-3</v>
      </c>
      <c r="M111" s="25">
        <v>6.4338235294117696E-3</v>
      </c>
      <c r="N111" s="25">
        <v>6.4338235294117696E-3</v>
      </c>
      <c r="O111" s="25">
        <v>6.4338235294117696E-3</v>
      </c>
      <c r="P111" s="25">
        <v>1.16978609625668E-2</v>
      </c>
      <c r="Q111" s="25">
        <v>6.4338235294117696E-3</v>
      </c>
      <c r="R111" s="25">
        <v>6.4338235294117696E-3</v>
      </c>
      <c r="S111" s="25">
        <v>6.4338235294117696E-3</v>
      </c>
      <c r="T111" s="25">
        <v>6.4338235294117696E-3</v>
      </c>
      <c r="U111" s="25">
        <v>6.4338235294117696E-3</v>
      </c>
      <c r="V111" s="25">
        <v>6.4338235294117696E-3</v>
      </c>
      <c r="W111" s="25">
        <v>6.4338235294117696E-3</v>
      </c>
      <c r="X111" s="25">
        <v>1.16978609625668E-2</v>
      </c>
      <c r="Y111" s="25">
        <v>1.16978609625668E-2</v>
      </c>
    </row>
    <row r="112" spans="3:25" x14ac:dyDescent="0.25">
      <c r="C112" s="88"/>
      <c r="E112" t="s">
        <v>195</v>
      </c>
      <c r="G112" t="s">
        <v>167</v>
      </c>
      <c r="J112" s="25">
        <v>4.1617122473246101E-3</v>
      </c>
      <c r="K112" s="25">
        <v>4.1617122473246101E-3</v>
      </c>
      <c r="L112" s="25">
        <v>4.1617122473246101E-3</v>
      </c>
      <c r="M112" s="25">
        <v>4.1617122473246101E-3</v>
      </c>
      <c r="N112" s="25">
        <v>4.1617122473246101E-3</v>
      </c>
      <c r="O112" s="25">
        <v>4.1617122473246101E-3</v>
      </c>
      <c r="P112" s="25">
        <v>7.56674954059021E-3</v>
      </c>
      <c r="Q112" s="25">
        <v>4.1617122473246101E-3</v>
      </c>
      <c r="R112" s="25">
        <v>4.1617122473246101E-3</v>
      </c>
      <c r="S112" s="25">
        <v>4.1617122473246101E-3</v>
      </c>
      <c r="T112" s="25">
        <v>4.1617122473246101E-3</v>
      </c>
      <c r="U112" s="25">
        <v>4.1617122473246101E-3</v>
      </c>
      <c r="V112" s="25">
        <v>4.1617122473246101E-3</v>
      </c>
      <c r="W112" s="25">
        <v>4.1617122473246101E-3</v>
      </c>
      <c r="X112" s="25">
        <v>7.56674954059021E-3</v>
      </c>
      <c r="Y112" s="25">
        <v>7.56674954059021E-3</v>
      </c>
    </row>
    <row r="113" spans="3:27" x14ac:dyDescent="0.25">
      <c r="C113" s="88"/>
      <c r="E113" t="s">
        <v>196</v>
      </c>
      <c r="G113" t="s">
        <v>167</v>
      </c>
      <c r="J113" s="25">
        <v>0</v>
      </c>
      <c r="K113" s="25">
        <v>0</v>
      </c>
      <c r="L113" s="25">
        <v>0</v>
      </c>
      <c r="M113" s="25">
        <v>0</v>
      </c>
      <c r="N113" s="25">
        <v>0</v>
      </c>
      <c r="O113" s="25">
        <v>0</v>
      </c>
      <c r="P113" s="25">
        <v>0</v>
      </c>
      <c r="Q113" s="25">
        <v>0</v>
      </c>
      <c r="R113" s="25">
        <v>0</v>
      </c>
      <c r="S113" s="25">
        <v>0</v>
      </c>
      <c r="T113" s="25">
        <v>0</v>
      </c>
      <c r="U113" s="25">
        <v>0</v>
      </c>
      <c r="V113" s="25">
        <v>0</v>
      </c>
      <c r="W113" s="25">
        <v>0</v>
      </c>
      <c r="X113" s="25">
        <v>0</v>
      </c>
      <c r="Y113" s="25">
        <v>0</v>
      </c>
    </row>
    <row r="114" spans="3:27" x14ac:dyDescent="0.25">
      <c r="C114" s="88"/>
      <c r="E114" t="s">
        <v>197</v>
      </c>
      <c r="G114" t="s">
        <v>167</v>
      </c>
      <c r="J114" s="25">
        <v>0.42522380337704002</v>
      </c>
      <c r="K114" s="25">
        <v>0.42522380337704002</v>
      </c>
      <c r="L114" s="25">
        <v>0.42522380337704002</v>
      </c>
      <c r="M114" s="25">
        <v>0.42522380337704002</v>
      </c>
      <c r="N114" s="25">
        <v>0.42522380337704002</v>
      </c>
      <c r="O114" s="25">
        <v>0.42522380337704002</v>
      </c>
      <c r="P114" s="25">
        <v>0.38896884219615702</v>
      </c>
      <c r="Q114" s="25">
        <v>0.42522380337704002</v>
      </c>
      <c r="R114" s="25">
        <v>0.42522380337704002</v>
      </c>
      <c r="S114" s="25">
        <v>0.42522380337704002</v>
      </c>
      <c r="T114" s="25">
        <v>0.42522380337704002</v>
      </c>
      <c r="U114" s="25">
        <v>0.42522380337704002</v>
      </c>
      <c r="V114" s="25">
        <v>0.42522380337704002</v>
      </c>
      <c r="W114" s="25">
        <v>0.42522380337704002</v>
      </c>
      <c r="X114" s="25">
        <v>0.38896884219615702</v>
      </c>
      <c r="Y114" s="25">
        <v>0.38896884219615702</v>
      </c>
    </row>
    <row r="115" spans="3:27" x14ac:dyDescent="0.25">
      <c r="C115" s="88"/>
      <c r="E115" t="s">
        <v>198</v>
      </c>
      <c r="G115" t="s">
        <v>167</v>
      </c>
      <c r="J115" s="25">
        <v>0.78260869565217395</v>
      </c>
      <c r="K115" s="25">
        <v>0.78260869565217395</v>
      </c>
      <c r="L115" s="25">
        <v>0.78260869565217395</v>
      </c>
      <c r="M115" s="25">
        <v>0.78260869565217395</v>
      </c>
      <c r="N115" s="25">
        <v>0.78260869565217395</v>
      </c>
      <c r="O115" s="25">
        <v>0.78260869565217395</v>
      </c>
      <c r="P115" s="25">
        <v>0</v>
      </c>
      <c r="Q115" s="25">
        <v>0.78260869565217395</v>
      </c>
      <c r="R115" s="25">
        <v>0.78260869565217395</v>
      </c>
      <c r="S115" s="25">
        <v>0.78260869565217395</v>
      </c>
      <c r="T115" s="25">
        <v>0.78260869565217395</v>
      </c>
      <c r="U115" s="25">
        <v>0.78260869565217395</v>
      </c>
      <c r="V115" s="25">
        <v>0.78260869565217395</v>
      </c>
      <c r="W115" s="25">
        <v>0.78260869565217395</v>
      </c>
      <c r="X115" s="25">
        <v>0</v>
      </c>
      <c r="Y115" s="25">
        <v>0</v>
      </c>
    </row>
    <row r="116" spans="3:27" x14ac:dyDescent="0.25">
      <c r="C116" s="88"/>
      <c r="E116" t="s">
        <v>199</v>
      </c>
      <c r="G116" t="s">
        <v>167</v>
      </c>
      <c r="J116" s="25">
        <v>0.966742252456538</v>
      </c>
      <c r="K116" s="25">
        <v>0.966742252456538</v>
      </c>
      <c r="L116" s="25">
        <v>0.966742252456538</v>
      </c>
      <c r="M116" s="25">
        <v>0.966742252456538</v>
      </c>
      <c r="N116" s="25">
        <v>0.966742252456538</v>
      </c>
      <c r="O116" s="25">
        <v>0</v>
      </c>
      <c r="P116" s="25">
        <v>0</v>
      </c>
      <c r="Q116" s="25">
        <v>0.966742252456538</v>
      </c>
      <c r="R116" s="25">
        <v>0.966742252456538</v>
      </c>
      <c r="S116" s="25">
        <v>0</v>
      </c>
      <c r="T116" s="25">
        <v>0.966742252456538</v>
      </c>
      <c r="U116" s="25">
        <v>0.966742252456538</v>
      </c>
      <c r="V116" s="25">
        <v>0</v>
      </c>
      <c r="W116" s="25">
        <v>0</v>
      </c>
      <c r="X116" s="25">
        <v>0</v>
      </c>
      <c r="Y116" s="25">
        <v>0</v>
      </c>
    </row>
    <row r="117" spans="3:27" x14ac:dyDescent="0.25">
      <c r="C117" s="88"/>
      <c r="E117" t="s">
        <v>376</v>
      </c>
      <c r="G117" t="s">
        <v>167</v>
      </c>
      <c r="J117" s="66"/>
      <c r="K117" s="66"/>
      <c r="L117" s="66"/>
      <c r="M117" s="66"/>
      <c r="N117" s="66"/>
      <c r="O117" s="66"/>
      <c r="P117" s="66"/>
      <c r="Q117" s="66"/>
      <c r="R117" s="66"/>
      <c r="S117" s="66"/>
      <c r="T117" s="66"/>
      <c r="U117" s="66"/>
      <c r="V117" s="66"/>
      <c r="W117" s="66"/>
      <c r="X117" s="66"/>
      <c r="Y117" s="66"/>
    </row>
    <row r="118" spans="3:27" x14ac:dyDescent="0.25">
      <c r="C118" s="88"/>
      <c r="E118" s="37" t="s">
        <v>377</v>
      </c>
      <c r="F118" s="37"/>
      <c r="G118" s="37" t="s">
        <v>167</v>
      </c>
      <c r="H118" s="37"/>
      <c r="I118" s="37"/>
      <c r="J118" s="68"/>
      <c r="K118" s="68"/>
      <c r="L118" s="68"/>
      <c r="M118" s="68"/>
      <c r="N118" s="68"/>
      <c r="O118" s="68"/>
      <c r="P118" s="68"/>
      <c r="Q118" s="68"/>
      <c r="R118" s="68"/>
      <c r="S118" s="68"/>
      <c r="T118" s="68"/>
      <c r="U118" s="68"/>
      <c r="V118" s="68"/>
      <c r="W118" s="68"/>
      <c r="X118" s="68"/>
      <c r="Y118" s="68"/>
    </row>
    <row r="120" spans="3:27" x14ac:dyDescent="0.25">
      <c r="C120" s="31" t="str">
        <f ca="1">INDEX('Version control'!$H$34:$H$57,MATCH($A$1,'Version control'!$F$34:$F$57,0),1)&amp;"-B: Yardstick charge (demand)"</f>
        <v>Section 112-B: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25">
      <c r="C121" s="32"/>
      <c r="D121"/>
      <c r="E121" s="32"/>
    </row>
    <row r="122" spans="3:27" x14ac:dyDescent="0.25">
      <c r="D122" s="32" t="s">
        <v>621</v>
      </c>
      <c r="E122"/>
    </row>
    <row r="123" spans="3:27" x14ac:dyDescent="0.25">
      <c r="E123" s="23" t="s">
        <v>189</v>
      </c>
      <c r="F123" s="23"/>
      <c r="G123" s="23" t="s">
        <v>269</v>
      </c>
      <c r="H123" s="270"/>
      <c r="I123" s="270"/>
      <c r="J123" s="288"/>
      <c r="K123" s="288"/>
      <c r="L123" s="288"/>
      <c r="M123" s="288"/>
      <c r="N123" s="288"/>
      <c r="O123" s="288"/>
      <c r="P123" s="288"/>
      <c r="Q123" s="288"/>
      <c r="R123" s="288"/>
      <c r="S123" s="288"/>
      <c r="T123" s="288"/>
      <c r="U123" s="288"/>
      <c r="V123" s="288"/>
      <c r="W123" s="288"/>
      <c r="X123" s="288"/>
      <c r="Y123" s="288"/>
      <c r="Z123" s="272"/>
      <c r="AA123" s="272"/>
    </row>
    <row r="124" spans="3:27" x14ac:dyDescent="0.25">
      <c r="E124" t="s">
        <v>191</v>
      </c>
      <c r="G124" t="s">
        <v>269</v>
      </c>
      <c r="H124" s="272"/>
      <c r="I124" s="272"/>
      <c r="J124" s="273"/>
      <c r="K124" s="273"/>
      <c r="L124" s="273"/>
      <c r="M124" s="273"/>
      <c r="N124" s="273"/>
      <c r="O124" s="273"/>
      <c r="P124" s="273"/>
      <c r="Q124" s="273"/>
      <c r="R124" s="273"/>
      <c r="S124" s="273"/>
      <c r="T124" s="273"/>
      <c r="U124" s="273"/>
      <c r="V124" s="273"/>
      <c r="W124" s="273"/>
      <c r="X124" s="273"/>
      <c r="Y124" s="273"/>
      <c r="Z124" s="272"/>
      <c r="AA124" s="272"/>
    </row>
    <row r="125" spans="3:27" x14ac:dyDescent="0.25">
      <c r="E125" t="s">
        <v>192</v>
      </c>
      <c r="G125" t="s">
        <v>269</v>
      </c>
      <c r="H125" s="272"/>
      <c r="I125" s="272"/>
      <c r="J125" s="287">
        <f>'Initial unit rates'!J125</f>
        <v>0</v>
      </c>
      <c r="K125" s="287">
        <f>'Initial unit rates'!K125</f>
        <v>0</v>
      </c>
      <c r="L125" s="287">
        <f>'Initial unit rates'!L125</f>
        <v>0</v>
      </c>
      <c r="M125" s="287">
        <f>'Initial unit rates'!M125</f>
        <v>0</v>
      </c>
      <c r="N125" s="287">
        <f>'Initial unit rates'!N125</f>
        <v>0</v>
      </c>
      <c r="O125" s="287">
        <f>'Initial unit rates'!O125</f>
        <v>0</v>
      </c>
      <c r="P125" s="287">
        <f>'Initial unit rates'!P125</f>
        <v>0</v>
      </c>
      <c r="Q125" s="287">
        <f>'Initial unit rates'!Q125</f>
        <v>0</v>
      </c>
      <c r="R125" s="273"/>
      <c r="S125" s="273"/>
      <c r="T125" s="273"/>
      <c r="U125" s="273"/>
      <c r="V125" s="273"/>
      <c r="W125" s="273"/>
      <c r="X125" s="273"/>
      <c r="Y125" s="273"/>
      <c r="Z125" s="272"/>
      <c r="AA125" s="272"/>
    </row>
    <row r="126" spans="3:27" x14ac:dyDescent="0.25">
      <c r="E126" t="s">
        <v>193</v>
      </c>
      <c r="G126" t="s">
        <v>269</v>
      </c>
      <c r="H126" s="272"/>
      <c r="I126" s="272"/>
      <c r="J126" s="287">
        <f>'Initial unit rates'!J126</f>
        <v>0</v>
      </c>
      <c r="K126" s="287">
        <f>'Initial unit rates'!K126</f>
        <v>0</v>
      </c>
      <c r="L126" s="287">
        <f>'Initial unit rates'!L126</f>
        <v>0</v>
      </c>
      <c r="M126" s="287">
        <f>'Initial unit rates'!M126</f>
        <v>0</v>
      </c>
      <c r="N126" s="287">
        <f>'Initial unit rates'!N126</f>
        <v>0</v>
      </c>
      <c r="O126" s="287">
        <f>'Initial unit rates'!O126</f>
        <v>0</v>
      </c>
      <c r="P126" s="287">
        <f>'Initial unit rates'!P126</f>
        <v>0</v>
      </c>
      <c r="Q126" s="287">
        <f>'Initial unit rates'!Q126</f>
        <v>0</v>
      </c>
      <c r="R126" s="273"/>
      <c r="S126" s="273"/>
      <c r="T126" s="273"/>
      <c r="U126" s="273"/>
      <c r="V126" s="273"/>
      <c r="W126" s="273"/>
      <c r="X126" s="273"/>
      <c r="Y126" s="273"/>
      <c r="Z126" s="272"/>
      <c r="AA126" s="272"/>
    </row>
    <row r="127" spans="3:27" x14ac:dyDescent="0.25">
      <c r="E127" t="s">
        <v>194</v>
      </c>
      <c r="G127" t="s">
        <v>269</v>
      </c>
      <c r="H127" s="272"/>
      <c r="I127" s="272"/>
      <c r="J127" s="287">
        <f>'Initial unit rates'!J127</f>
        <v>0.2003352080181186</v>
      </c>
      <c r="K127" s="287">
        <f>'Initial unit rates'!K127</f>
        <v>0</v>
      </c>
      <c r="L127" s="287">
        <f>'Initial unit rates'!L127</f>
        <v>0.17702451668338812</v>
      </c>
      <c r="M127" s="287">
        <f>'Initial unit rates'!M127</f>
        <v>0</v>
      </c>
      <c r="N127" s="287">
        <f>'Initial unit rates'!N127</f>
        <v>0.14800650636225282</v>
      </c>
      <c r="O127" s="287">
        <f>'Initial unit rates'!O127</f>
        <v>0.11389914868181479</v>
      </c>
      <c r="P127" s="287">
        <f>'Initial unit rates'!P127</f>
        <v>0.11682002915477047</v>
      </c>
      <c r="Q127" s="287">
        <f>'Initial unit rates'!Q127</f>
        <v>0.18248843924312494</v>
      </c>
      <c r="R127" s="273"/>
      <c r="S127" s="273"/>
      <c r="T127" s="273"/>
      <c r="U127" s="273"/>
      <c r="V127" s="273"/>
      <c r="W127" s="273"/>
      <c r="X127" s="273"/>
      <c r="Y127" s="273"/>
      <c r="Z127" s="272"/>
      <c r="AA127" s="272"/>
    </row>
    <row r="128" spans="3:27" x14ac:dyDescent="0.25">
      <c r="E128" t="s">
        <v>195</v>
      </c>
      <c r="G128" t="s">
        <v>269</v>
      </c>
      <c r="H128" s="272"/>
      <c r="I128" s="272"/>
      <c r="J128" s="287">
        <f>'Initial unit rates'!J128</f>
        <v>0.18167707165671959</v>
      </c>
      <c r="K128" s="287">
        <f>'Initial unit rates'!K128</f>
        <v>0</v>
      </c>
      <c r="L128" s="287">
        <f>'Initial unit rates'!L128</f>
        <v>0.1605374118740793</v>
      </c>
      <c r="M128" s="287">
        <f>'Initial unit rates'!M128</f>
        <v>0</v>
      </c>
      <c r="N128" s="287">
        <f>'Initial unit rates'!N128</f>
        <v>0.13422198188749637</v>
      </c>
      <c r="O128" s="287">
        <f>'Initial unit rates'!O128</f>
        <v>0.10329119879334409</v>
      </c>
      <c r="P128" s="287">
        <f>'Initial unit rates'!P128</f>
        <v>0.10614015069475431</v>
      </c>
      <c r="Q128" s="287">
        <f>'Initial unit rates'!Q128</f>
        <v>0.16549245427642276</v>
      </c>
      <c r="R128" s="273"/>
      <c r="S128" s="273"/>
      <c r="T128" s="273"/>
      <c r="U128" s="273"/>
      <c r="V128" s="273"/>
      <c r="W128" s="273"/>
      <c r="X128" s="273"/>
      <c r="Y128" s="273"/>
      <c r="Z128" s="272"/>
      <c r="AA128" s="272"/>
    </row>
    <row r="129" spans="4:27" x14ac:dyDescent="0.25">
      <c r="E129" t="s">
        <v>196</v>
      </c>
      <c r="G129" t="s">
        <v>269</v>
      </c>
      <c r="H129" s="272"/>
      <c r="I129" s="272"/>
      <c r="J129" s="287">
        <f>'Initial unit rates'!J129</f>
        <v>0</v>
      </c>
      <c r="K129" s="287">
        <f>'Initial unit rates'!K129</f>
        <v>0</v>
      </c>
      <c r="L129" s="287">
        <f>'Initial unit rates'!L129</f>
        <v>0</v>
      </c>
      <c r="M129" s="287">
        <f>'Initial unit rates'!M129</f>
        <v>0</v>
      </c>
      <c r="N129" s="287">
        <f>'Initial unit rates'!N129</f>
        <v>0</v>
      </c>
      <c r="O129" s="287">
        <f>'Initial unit rates'!O129</f>
        <v>0</v>
      </c>
      <c r="P129" s="287">
        <f>'Initial unit rates'!P129</f>
        <v>0</v>
      </c>
      <c r="Q129" s="287">
        <f>'Initial unit rates'!Q129</f>
        <v>0</v>
      </c>
      <c r="R129" s="273"/>
      <c r="S129" s="273"/>
      <c r="T129" s="273"/>
      <c r="U129" s="273"/>
      <c r="V129" s="273"/>
      <c r="W129" s="273"/>
      <c r="X129" s="273"/>
      <c r="Y129" s="273"/>
      <c r="Z129" s="272"/>
      <c r="AA129" s="272"/>
    </row>
    <row r="130" spans="4:27" x14ac:dyDescent="0.25">
      <c r="E130" t="s">
        <v>197</v>
      </c>
      <c r="G130" t="s">
        <v>269</v>
      </c>
      <c r="H130" s="272"/>
      <c r="I130" s="272"/>
      <c r="J130" s="287">
        <f>'Initial unit rates'!J130</f>
        <v>0.43330840947211213</v>
      </c>
      <c r="K130" s="287">
        <f>'Initial unit rates'!K130</f>
        <v>0</v>
      </c>
      <c r="L130" s="287">
        <f>'Initial unit rates'!L130</f>
        <v>0.38288932095605904</v>
      </c>
      <c r="M130" s="287">
        <f>'Initial unit rates'!M130</f>
        <v>0</v>
      </c>
      <c r="N130" s="287">
        <f>'Initial unit rates'!N130</f>
        <v>0.32012577568268274</v>
      </c>
      <c r="O130" s="287">
        <f>'Initial unit rates'!O130</f>
        <v>0.24635439493531858</v>
      </c>
      <c r="P130" s="287">
        <f>'Initial unit rates'!P130</f>
        <v>0.2700404307740597</v>
      </c>
      <c r="Q130" s="287">
        <f>'Initial unit rates'!Q130</f>
        <v>0.39470733146584552</v>
      </c>
      <c r="R130" s="273"/>
      <c r="S130" s="273"/>
      <c r="T130" s="273"/>
      <c r="U130" s="273"/>
      <c r="V130" s="273"/>
      <c r="W130" s="273"/>
      <c r="X130" s="273"/>
      <c r="Y130" s="273"/>
      <c r="Z130" s="272"/>
      <c r="AA130" s="272"/>
    </row>
    <row r="131" spans="4:27" x14ac:dyDescent="0.25">
      <c r="E131" t="s">
        <v>198</v>
      </c>
      <c r="G131" t="s">
        <v>269</v>
      </c>
      <c r="H131" s="272"/>
      <c r="I131" s="272"/>
      <c r="J131" s="287">
        <f>'Initial unit rates'!J131</f>
        <v>3.9685128801673436E-2</v>
      </c>
      <c r="K131" s="287">
        <f>'Initial unit rates'!K131</f>
        <v>0</v>
      </c>
      <c r="L131" s="287">
        <f>'Initial unit rates'!L131</f>
        <v>3.5067429310772336E-2</v>
      </c>
      <c r="M131" s="287">
        <f>'Initial unit rates'!M131</f>
        <v>0</v>
      </c>
      <c r="N131" s="287">
        <f>'Initial unit rates'!N131</f>
        <v>2.9319146277774998E-2</v>
      </c>
      <c r="O131" s="287">
        <f>'Initial unit rates'!O131</f>
        <v>2.2562695946236118E-2</v>
      </c>
      <c r="P131" s="287">
        <f>'Initial unit rates'!P131</f>
        <v>0</v>
      </c>
      <c r="Q131" s="287">
        <f>'Initial unit rates'!Q131</f>
        <v>3.6149797570903204E-2</v>
      </c>
      <c r="R131" s="273"/>
      <c r="S131" s="273"/>
      <c r="T131" s="273"/>
      <c r="U131" s="273"/>
      <c r="V131" s="273"/>
      <c r="W131" s="273"/>
      <c r="X131" s="273"/>
      <c r="Y131" s="273"/>
      <c r="Z131" s="272"/>
      <c r="AA131" s="272"/>
    </row>
    <row r="132" spans="4:27" x14ac:dyDescent="0.25">
      <c r="E132" t="s">
        <v>199</v>
      </c>
      <c r="G132" t="s">
        <v>269</v>
      </c>
      <c r="H132" s="272"/>
      <c r="I132" s="272"/>
      <c r="J132" s="287">
        <f>'Initial unit rates'!J132</f>
        <v>1.4411999128622507E-2</v>
      </c>
      <c r="K132" s="287">
        <f>'Initial unit rates'!K132</f>
        <v>0</v>
      </c>
      <c r="L132" s="287">
        <f>'Initial unit rates'!L132</f>
        <v>1.2735041460885242E-2</v>
      </c>
      <c r="M132" s="287">
        <f>'Initial unit rates'!M132</f>
        <v>0</v>
      </c>
      <c r="N132" s="287">
        <f>'Initial unit rates'!N132</f>
        <v>1.0647502562456876E-2</v>
      </c>
      <c r="O132" s="287">
        <f>'Initial unit rates'!O132</f>
        <v>0</v>
      </c>
      <c r="P132" s="287">
        <f>'Initial unit rates'!P132</f>
        <v>0</v>
      </c>
      <c r="Q132" s="287">
        <f>'Initial unit rates'!Q132</f>
        <v>1.3128112893255064E-2</v>
      </c>
      <c r="R132" s="273"/>
      <c r="S132" s="273"/>
      <c r="T132" s="273"/>
      <c r="U132" s="273"/>
      <c r="V132" s="273"/>
      <c r="W132" s="273"/>
      <c r="X132" s="273"/>
      <c r="Y132" s="273"/>
      <c r="Z132" s="272"/>
      <c r="AA132" s="272"/>
    </row>
    <row r="133" spans="4:27" x14ac:dyDescent="0.25">
      <c r="E133" t="s">
        <v>376</v>
      </c>
      <c r="G133" t="s">
        <v>269</v>
      </c>
      <c r="H133" s="272"/>
      <c r="I133" s="272"/>
      <c r="J133" s="273"/>
      <c r="K133" s="273"/>
      <c r="L133" s="273"/>
      <c r="M133" s="273"/>
      <c r="N133" s="273"/>
      <c r="O133" s="273"/>
      <c r="P133" s="273"/>
      <c r="Q133" s="273"/>
      <c r="R133" s="273"/>
      <c r="S133" s="273"/>
      <c r="T133" s="273"/>
      <c r="U133" s="273"/>
      <c r="V133" s="273"/>
      <c r="W133" s="273"/>
      <c r="X133" s="273"/>
      <c r="Y133" s="273"/>
      <c r="Z133" s="272"/>
      <c r="AA133" s="272"/>
    </row>
    <row r="134" spans="4:27" x14ac:dyDescent="0.25">
      <c r="E134" s="37" t="s">
        <v>377</v>
      </c>
      <c r="F134" s="37"/>
      <c r="G134" s="37" t="s">
        <v>269</v>
      </c>
      <c r="H134" s="276"/>
      <c r="I134" s="276"/>
      <c r="J134" s="277"/>
      <c r="K134" s="277"/>
      <c r="L134" s="277"/>
      <c r="M134" s="277"/>
      <c r="N134" s="277"/>
      <c r="O134" s="277"/>
      <c r="P134" s="277"/>
      <c r="Q134" s="277"/>
      <c r="R134" s="277"/>
      <c r="S134" s="277"/>
      <c r="T134" s="277"/>
      <c r="U134" s="277"/>
      <c r="V134" s="277"/>
      <c r="W134" s="277"/>
      <c r="X134" s="277"/>
      <c r="Y134" s="277"/>
      <c r="Z134" s="272"/>
      <c r="AA134" s="272"/>
    </row>
    <row r="135" spans="4:27" x14ac:dyDescent="0.25">
      <c r="E135"/>
      <c r="J135" s="89"/>
      <c r="K135" s="89"/>
      <c r="L135" s="89"/>
      <c r="M135" s="89"/>
      <c r="N135" s="89"/>
      <c r="O135" s="89"/>
      <c r="P135" s="89"/>
      <c r="Q135" s="89"/>
      <c r="R135" s="89"/>
      <c r="S135" s="89"/>
      <c r="T135" s="89"/>
      <c r="U135" s="89"/>
      <c r="V135" s="89"/>
      <c r="W135" s="89"/>
      <c r="X135" s="89"/>
      <c r="Y135" s="89"/>
    </row>
    <row r="136" spans="4:27" x14ac:dyDescent="0.25">
      <c r="D136" s="32" t="s">
        <v>622</v>
      </c>
      <c r="E136"/>
      <c r="J136" s="89"/>
      <c r="K136" s="89"/>
      <c r="L136" s="89"/>
      <c r="M136" s="89"/>
      <c r="N136" s="89"/>
      <c r="O136" s="89"/>
      <c r="P136" s="89"/>
      <c r="Q136" s="89"/>
      <c r="R136" s="89"/>
      <c r="S136" s="89"/>
      <c r="T136" s="89"/>
      <c r="U136" s="89"/>
      <c r="V136" s="89"/>
      <c r="W136" s="89"/>
      <c r="X136" s="89"/>
      <c r="Y136" s="89"/>
    </row>
    <row r="137" spans="4:27" x14ac:dyDescent="0.25">
      <c r="E137" s="23" t="s">
        <v>189</v>
      </c>
      <c r="F137" s="23"/>
      <c r="G137" s="23" t="s">
        <v>269</v>
      </c>
      <c r="H137" s="270"/>
      <c r="I137" s="270"/>
      <c r="J137" s="286">
        <f>'Initial unit rates'!J135</f>
        <v>0.59179793298224037</v>
      </c>
      <c r="K137" s="286">
        <f>'Initial unit rates'!K135</f>
        <v>0</v>
      </c>
      <c r="L137" s="286">
        <f>'Initial unit rates'!L135</f>
        <v>0.52293725150366133</v>
      </c>
      <c r="M137" s="286">
        <f>'Initial unit rates'!M135</f>
        <v>0</v>
      </c>
      <c r="N137" s="286">
        <f>'Initial unit rates'!N135</f>
        <v>0.43721692956328606</v>
      </c>
      <c r="O137" s="286">
        <f>'Initial unit rates'!O135</f>
        <v>0.33646247918757555</v>
      </c>
      <c r="P137" s="286">
        <f>'Initial unit rates'!P135</f>
        <v>0.34692894557805093</v>
      </c>
      <c r="Q137" s="286">
        <f>'Initial unit rates'!Q135</f>
        <v>0.5390778895313757</v>
      </c>
      <c r="R137" s="288"/>
      <c r="S137" s="288"/>
      <c r="T137" s="288"/>
      <c r="U137" s="288"/>
      <c r="V137" s="288"/>
      <c r="W137" s="288"/>
      <c r="X137" s="288"/>
      <c r="Y137" s="288"/>
      <c r="Z137" s="272"/>
      <c r="AA137" s="272"/>
    </row>
    <row r="138" spans="4:27" x14ac:dyDescent="0.25">
      <c r="E138" t="s">
        <v>191</v>
      </c>
      <c r="G138" t="s">
        <v>269</v>
      </c>
      <c r="H138" s="272"/>
      <c r="I138" s="272"/>
      <c r="J138" s="287">
        <f>'Initial unit rates'!J136</f>
        <v>0</v>
      </c>
      <c r="K138" s="287">
        <f>'Initial unit rates'!K136</f>
        <v>0</v>
      </c>
      <c r="L138" s="287">
        <f>'Initial unit rates'!L136</f>
        <v>0</v>
      </c>
      <c r="M138" s="287">
        <f>'Initial unit rates'!M136</f>
        <v>0</v>
      </c>
      <c r="N138" s="287">
        <f>'Initial unit rates'!N136</f>
        <v>0</v>
      </c>
      <c r="O138" s="287">
        <f>'Initial unit rates'!O136</f>
        <v>0</v>
      </c>
      <c r="P138" s="287">
        <f>'Initial unit rates'!P136</f>
        <v>0</v>
      </c>
      <c r="Q138" s="287">
        <f>'Initial unit rates'!Q136</f>
        <v>0</v>
      </c>
      <c r="R138" s="273"/>
      <c r="S138" s="273"/>
      <c r="T138" s="273"/>
      <c r="U138" s="273"/>
      <c r="V138" s="273"/>
      <c r="W138" s="273"/>
      <c r="X138" s="273"/>
      <c r="Y138" s="273"/>
      <c r="Z138" s="272"/>
      <c r="AA138" s="272"/>
    </row>
    <row r="139" spans="4:27" x14ac:dyDescent="0.25">
      <c r="E139" t="s">
        <v>192</v>
      </c>
      <c r="G139" t="s">
        <v>269</v>
      </c>
      <c r="H139" s="272"/>
      <c r="I139" s="272"/>
      <c r="J139" s="287">
        <f>'Initial unit rates'!J137</f>
        <v>0</v>
      </c>
      <c r="K139" s="287">
        <f>'Initial unit rates'!K137</f>
        <v>0</v>
      </c>
      <c r="L139" s="287">
        <f>'Initial unit rates'!L137</f>
        <v>0</v>
      </c>
      <c r="M139" s="287">
        <f>'Initial unit rates'!M137</f>
        <v>0</v>
      </c>
      <c r="N139" s="287">
        <f>'Initial unit rates'!N137</f>
        <v>0</v>
      </c>
      <c r="O139" s="287">
        <f>'Initial unit rates'!O137</f>
        <v>0</v>
      </c>
      <c r="P139" s="287">
        <f>'Initial unit rates'!P137</f>
        <v>0</v>
      </c>
      <c r="Q139" s="287">
        <f>'Initial unit rates'!Q137</f>
        <v>0</v>
      </c>
      <c r="R139" s="273"/>
      <c r="S139" s="273"/>
      <c r="T139" s="273"/>
      <c r="U139" s="273"/>
      <c r="V139" s="273"/>
      <c r="W139" s="273"/>
      <c r="X139" s="273"/>
      <c r="Y139" s="273"/>
      <c r="Z139" s="272"/>
      <c r="AA139" s="272"/>
    </row>
    <row r="140" spans="4:27" x14ac:dyDescent="0.25">
      <c r="E140" t="s">
        <v>193</v>
      </c>
      <c r="G140" t="s">
        <v>269</v>
      </c>
      <c r="H140" s="272"/>
      <c r="I140" s="272"/>
      <c r="J140" s="287">
        <f>'Initial unit rates'!J138</f>
        <v>0</v>
      </c>
      <c r="K140" s="287">
        <f>'Initial unit rates'!K138</f>
        <v>0</v>
      </c>
      <c r="L140" s="287">
        <f>'Initial unit rates'!L138</f>
        <v>0</v>
      </c>
      <c r="M140" s="287">
        <f>'Initial unit rates'!M138</f>
        <v>0</v>
      </c>
      <c r="N140" s="287">
        <f>'Initial unit rates'!N138</f>
        <v>0</v>
      </c>
      <c r="O140" s="287">
        <f>'Initial unit rates'!O138</f>
        <v>0</v>
      </c>
      <c r="P140" s="287">
        <f>'Initial unit rates'!P138</f>
        <v>0</v>
      </c>
      <c r="Q140" s="287">
        <f>'Initial unit rates'!Q138</f>
        <v>0</v>
      </c>
      <c r="R140" s="273"/>
      <c r="S140" s="273"/>
      <c r="T140" s="273"/>
      <c r="U140" s="273"/>
      <c r="V140" s="273"/>
      <c r="W140" s="273"/>
      <c r="X140" s="273"/>
      <c r="Y140" s="273"/>
      <c r="Z140" s="272"/>
      <c r="AA140" s="272"/>
    </row>
    <row r="141" spans="4:27" x14ac:dyDescent="0.25">
      <c r="E141" t="s">
        <v>194</v>
      </c>
      <c r="G141" t="s">
        <v>269</v>
      </c>
      <c r="H141" s="272"/>
      <c r="I141" s="272"/>
      <c r="J141" s="287">
        <f>'Initial unit rates'!J139</f>
        <v>0.16959144228331544</v>
      </c>
      <c r="K141" s="287">
        <f>'Initial unit rates'!K139</f>
        <v>0</v>
      </c>
      <c r="L141" s="287">
        <f>'Initial unit rates'!L139</f>
        <v>0.1498580474238328</v>
      </c>
      <c r="M141" s="287">
        <f>'Initial unit rates'!M139</f>
        <v>0</v>
      </c>
      <c r="N141" s="287">
        <f>'Initial unit rates'!N139</f>
        <v>0.12529318800027911</v>
      </c>
      <c r="O141" s="287">
        <f>'Initial unit rates'!O139</f>
        <v>9.6420000712225104E-2</v>
      </c>
      <c r="P141" s="287">
        <f>'Initial unit rates'!P139</f>
        <v>9.9419374369760047E-2</v>
      </c>
      <c r="Q141" s="287">
        <f>'Initial unit rates'!Q139</f>
        <v>0.15448346757138029</v>
      </c>
      <c r="R141" s="273"/>
      <c r="S141" s="273"/>
      <c r="T141" s="273"/>
      <c r="U141" s="273"/>
      <c r="V141" s="273"/>
      <c r="W141" s="273"/>
      <c r="X141" s="273"/>
      <c r="Y141" s="273"/>
      <c r="Z141" s="272"/>
      <c r="AA141" s="272"/>
    </row>
    <row r="142" spans="4:27" x14ac:dyDescent="0.25">
      <c r="E142" t="s">
        <v>195</v>
      </c>
      <c r="G142" t="s">
        <v>269</v>
      </c>
      <c r="H142" s="272"/>
      <c r="I142" s="272"/>
      <c r="J142" s="287">
        <f>'Initial unit rates'!J140</f>
        <v>0.15344571038969754</v>
      </c>
      <c r="K142" s="287">
        <f>'Initial unit rates'!K140</f>
        <v>0</v>
      </c>
      <c r="L142" s="287">
        <f>'Initial unit rates'!L140</f>
        <v>0.13559100762966553</v>
      </c>
      <c r="M142" s="287">
        <f>'Initial unit rates'!M140</f>
        <v>0</v>
      </c>
      <c r="N142" s="287">
        <f>'Initial unit rates'!N140</f>
        <v>0.11336481358283843</v>
      </c>
      <c r="O142" s="287">
        <f>'Initial unit rates'!O140</f>
        <v>8.7240460402158465E-2</v>
      </c>
      <c r="P142" s="287">
        <f>'Initial unit rates'!P140</f>
        <v>8.9954282605732419E-2</v>
      </c>
      <c r="Q142" s="287">
        <f>'Initial unit rates'!Q140</f>
        <v>0.13977607068966091</v>
      </c>
      <c r="R142" s="273"/>
      <c r="S142" s="273"/>
      <c r="T142" s="273"/>
      <c r="U142" s="273"/>
      <c r="V142" s="273"/>
      <c r="W142" s="273"/>
      <c r="X142" s="273"/>
      <c r="Y142" s="273"/>
      <c r="Z142" s="272"/>
      <c r="AA142" s="272"/>
    </row>
    <row r="143" spans="4:27" x14ac:dyDescent="0.25">
      <c r="E143" t="s">
        <v>196</v>
      </c>
      <c r="G143" t="s">
        <v>269</v>
      </c>
      <c r="H143" s="272"/>
      <c r="I143" s="272"/>
      <c r="J143" s="287">
        <f>'Initial unit rates'!J141</f>
        <v>0</v>
      </c>
      <c r="K143" s="287">
        <f>'Initial unit rates'!K141</f>
        <v>0</v>
      </c>
      <c r="L143" s="287">
        <f>'Initial unit rates'!L141</f>
        <v>0</v>
      </c>
      <c r="M143" s="287">
        <f>'Initial unit rates'!M141</f>
        <v>0</v>
      </c>
      <c r="N143" s="287">
        <f>'Initial unit rates'!N141</f>
        <v>0</v>
      </c>
      <c r="O143" s="287">
        <f>'Initial unit rates'!O141</f>
        <v>0</v>
      </c>
      <c r="P143" s="287">
        <f>'Initial unit rates'!P141</f>
        <v>0</v>
      </c>
      <c r="Q143" s="287">
        <f>'Initial unit rates'!Q141</f>
        <v>0</v>
      </c>
      <c r="R143" s="273"/>
      <c r="S143" s="273"/>
      <c r="T143" s="273"/>
      <c r="U143" s="273"/>
      <c r="V143" s="273"/>
      <c r="W143" s="273"/>
      <c r="X143" s="273"/>
      <c r="Y143" s="273"/>
      <c r="Z143" s="272"/>
      <c r="AA143" s="272"/>
    </row>
    <row r="144" spans="4:27" x14ac:dyDescent="0.25">
      <c r="E144" t="s">
        <v>197</v>
      </c>
      <c r="G144" t="s">
        <v>269</v>
      </c>
      <c r="H144" s="272"/>
      <c r="I144" s="272"/>
      <c r="J144" s="287">
        <f>'Initial unit rates'!J142</f>
        <v>0.63407669944509548</v>
      </c>
      <c r="K144" s="287">
        <f>'Initial unit rates'!K142</f>
        <v>0</v>
      </c>
      <c r="L144" s="287">
        <f>'Initial unit rates'!L142</f>
        <v>0.56029652685569975</v>
      </c>
      <c r="M144" s="287">
        <f>'Initial unit rates'!M142</f>
        <v>0</v>
      </c>
      <c r="N144" s="287">
        <f>'Initial unit rates'!N142</f>
        <v>0.46845224051724899</v>
      </c>
      <c r="O144" s="287">
        <f>'Initial unit rates'!O142</f>
        <v>0.36049976926292249</v>
      </c>
      <c r="P144" s="287">
        <f>'Initial unit rates'!P142</f>
        <v>0.37171397278384755</v>
      </c>
      <c r="Q144" s="287">
        <f>'Initial unit rates'!Q142</f>
        <v>0.57759027175943234</v>
      </c>
      <c r="R144" s="273"/>
      <c r="S144" s="273"/>
      <c r="T144" s="273"/>
      <c r="U144" s="273"/>
      <c r="V144" s="273"/>
      <c r="W144" s="273"/>
      <c r="X144" s="273"/>
      <c r="Y144" s="273"/>
      <c r="Z144" s="272"/>
      <c r="AA144" s="272"/>
    </row>
    <row r="145" spans="2:27" x14ac:dyDescent="0.25">
      <c r="E145" t="s">
        <v>198</v>
      </c>
      <c r="G145" t="s">
        <v>269</v>
      </c>
      <c r="H145" s="272"/>
      <c r="I145" s="272"/>
      <c r="J145" s="287">
        <f>'Initial unit rates'!J143</f>
        <v>0.15354266588532203</v>
      </c>
      <c r="K145" s="287">
        <f>'Initial unit rates'!K143</f>
        <v>0</v>
      </c>
      <c r="L145" s="287">
        <f>'Initial unit rates'!L143</f>
        <v>0.13567668153552823</v>
      </c>
      <c r="M145" s="287">
        <f>'Initial unit rates'!M143</f>
        <v>0</v>
      </c>
      <c r="N145" s="287">
        <f>'Initial unit rates'!N143</f>
        <v>0.11343644374870873</v>
      </c>
      <c r="O145" s="287">
        <f>'Initial unit rates'!O143</f>
        <v>8.7295583755266998E-2</v>
      </c>
      <c r="P145" s="287">
        <f>'Initial unit rates'!P143</f>
        <v>0</v>
      </c>
      <c r="Q145" s="287">
        <f>'Initial unit rates'!Q143</f>
        <v>0.13986438895007849</v>
      </c>
      <c r="R145" s="273"/>
      <c r="S145" s="273"/>
      <c r="T145" s="273"/>
      <c r="U145" s="273"/>
      <c r="V145" s="273"/>
      <c r="W145" s="273"/>
      <c r="X145" s="273"/>
      <c r="Y145" s="273"/>
      <c r="Z145" s="272"/>
      <c r="AA145" s="272"/>
    </row>
    <row r="146" spans="2:27" x14ac:dyDescent="0.25">
      <c r="E146" t="s">
        <v>199</v>
      </c>
      <c r="G146" t="s">
        <v>269</v>
      </c>
      <c r="H146" s="272"/>
      <c r="I146" s="272"/>
      <c r="J146" s="287">
        <f>'Initial unit rates'!J144</f>
        <v>0.36448095959830623</v>
      </c>
      <c r="K146" s="287">
        <f>'Initial unit rates'!K144</f>
        <v>0</v>
      </c>
      <c r="L146" s="287">
        <f>'Initial unit rates'!L144</f>
        <v>0.3220705254532803</v>
      </c>
      <c r="M146" s="287">
        <f>'Initial unit rates'!M144</f>
        <v>0</v>
      </c>
      <c r="N146" s="287">
        <f>'Initial unit rates'!N144</f>
        <v>0.26927644920421484</v>
      </c>
      <c r="O146" s="287">
        <f>'Initial unit rates'!O144</f>
        <v>0</v>
      </c>
      <c r="P146" s="287">
        <f>'Initial unit rates'!P144</f>
        <v>0</v>
      </c>
      <c r="Q146" s="287">
        <f>'Initial unit rates'!Q144</f>
        <v>0.33201134293336904</v>
      </c>
      <c r="R146" s="273"/>
      <c r="S146" s="273"/>
      <c r="T146" s="273"/>
      <c r="U146" s="273"/>
      <c r="V146" s="273"/>
      <c r="W146" s="273"/>
      <c r="X146" s="273"/>
      <c r="Y146" s="273"/>
      <c r="Z146" s="272"/>
      <c r="AA146" s="272"/>
    </row>
    <row r="147" spans="2:27" x14ac:dyDescent="0.25">
      <c r="E147" t="s">
        <v>376</v>
      </c>
      <c r="G147" t="s">
        <v>269</v>
      </c>
      <c r="H147" s="272"/>
      <c r="I147" s="272"/>
      <c r="J147" s="273"/>
      <c r="K147" s="273"/>
      <c r="L147" s="273"/>
      <c r="M147" s="273"/>
      <c r="N147" s="273"/>
      <c r="O147" s="273"/>
      <c r="P147" s="273"/>
      <c r="Q147" s="273"/>
      <c r="R147" s="273"/>
      <c r="S147" s="273"/>
      <c r="T147" s="273"/>
      <c r="U147" s="273"/>
      <c r="V147" s="273"/>
      <c r="W147" s="273"/>
      <c r="X147" s="273"/>
      <c r="Y147" s="273"/>
      <c r="Z147" s="272"/>
      <c r="AA147" s="272"/>
    </row>
    <row r="148" spans="2:27" x14ac:dyDescent="0.25">
      <c r="E148" s="37" t="s">
        <v>377</v>
      </c>
      <c r="F148" s="37"/>
      <c r="G148" s="37" t="s">
        <v>269</v>
      </c>
      <c r="H148" s="276"/>
      <c r="I148" s="276"/>
      <c r="J148" s="277"/>
      <c r="K148" s="277"/>
      <c r="L148" s="277"/>
      <c r="M148" s="277"/>
      <c r="N148" s="277"/>
      <c r="O148" s="277"/>
      <c r="P148" s="277"/>
      <c r="Q148" s="277"/>
      <c r="R148" s="277"/>
      <c r="S148" s="277"/>
      <c r="T148" s="277"/>
      <c r="U148" s="277"/>
      <c r="V148" s="277"/>
      <c r="W148" s="277"/>
      <c r="X148" s="277"/>
      <c r="Y148" s="277"/>
      <c r="Z148" s="272"/>
      <c r="AA148" s="272"/>
    </row>
    <row r="149" spans="2:27" x14ac:dyDescent="0.25">
      <c r="D149"/>
      <c r="E149"/>
      <c r="J149" s="89"/>
      <c r="K149" s="89"/>
      <c r="L149" s="89"/>
      <c r="M149" s="89"/>
      <c r="N149" s="89"/>
      <c r="O149" s="89"/>
      <c r="P149" s="89"/>
      <c r="Q149" s="89"/>
      <c r="R149" s="89"/>
      <c r="S149" s="89"/>
      <c r="T149" s="89"/>
      <c r="U149" s="89"/>
      <c r="V149" s="89"/>
      <c r="W149" s="89"/>
      <c r="X149" s="89"/>
      <c r="Y149" s="89"/>
    </row>
    <row r="150" spans="2:27" x14ac:dyDescent="0.25">
      <c r="B150" s="30" t="s">
        <v>675</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25">
      <c r="C151" s="205"/>
      <c r="D151"/>
      <c r="E151"/>
      <c r="J151" s="89"/>
      <c r="K151" s="89"/>
      <c r="L151" s="89"/>
      <c r="M151" s="89"/>
      <c r="N151" s="89"/>
      <c r="O151" s="89"/>
      <c r="P151" s="89"/>
      <c r="Q151" s="89"/>
      <c r="R151" s="89"/>
      <c r="S151" s="89"/>
      <c r="T151" s="89"/>
      <c r="U151" s="89"/>
      <c r="V151" s="89"/>
      <c r="W151" s="89"/>
      <c r="X151" s="89"/>
      <c r="Y151" s="89"/>
    </row>
    <row r="152" spans="2:27" x14ac:dyDescent="0.25">
      <c r="C152" s="29" t="s">
        <v>676</v>
      </c>
      <c r="D152"/>
      <c r="E152"/>
      <c r="J152" s="89"/>
      <c r="K152" s="89"/>
      <c r="L152" s="89"/>
      <c r="M152" s="89"/>
      <c r="N152" s="89"/>
      <c r="O152" s="89"/>
      <c r="P152" s="89"/>
      <c r="Q152" s="89"/>
      <c r="R152" s="89"/>
      <c r="S152" s="89"/>
      <c r="T152" s="89"/>
      <c r="U152" s="89"/>
      <c r="V152" s="89"/>
      <c r="W152" s="89"/>
      <c r="X152" s="89"/>
      <c r="Y152" s="89"/>
    </row>
    <row r="153" spans="2:27" x14ac:dyDescent="0.25">
      <c r="C153" s="29" t="s">
        <v>677</v>
      </c>
      <c r="D153"/>
      <c r="E153"/>
      <c r="J153" s="89"/>
      <c r="K153" s="89"/>
      <c r="L153" s="89"/>
      <c r="M153" s="89"/>
      <c r="N153" s="89"/>
      <c r="O153" s="89"/>
      <c r="P153" s="89"/>
      <c r="Q153" s="89"/>
      <c r="R153" s="89"/>
      <c r="S153" s="89"/>
      <c r="T153" s="89"/>
      <c r="U153" s="89"/>
      <c r="V153" s="89"/>
      <c r="W153" s="89"/>
      <c r="X153" s="89"/>
      <c r="Y153" s="89"/>
    </row>
    <row r="154" spans="2:27" x14ac:dyDescent="0.25">
      <c r="C154" s="205"/>
      <c r="D154"/>
      <c r="E154"/>
      <c r="J154" s="89"/>
      <c r="K154" s="89"/>
      <c r="L154" s="89"/>
      <c r="M154" s="89"/>
      <c r="N154" s="89"/>
      <c r="O154" s="89"/>
      <c r="P154" s="89"/>
      <c r="Q154" s="89"/>
      <c r="R154" s="89"/>
      <c r="S154" s="89"/>
      <c r="T154" s="89"/>
      <c r="U154" s="89"/>
      <c r="V154" s="89"/>
      <c r="W154" s="89"/>
      <c r="X154" s="89"/>
      <c r="Y154" s="89"/>
    </row>
    <row r="155" spans="2:27" x14ac:dyDescent="0.25">
      <c r="C155" s="31" t="str">
        <f ca="1">INDEX('Version control'!$H$34:$H$57,MATCH($A$1,'Version control'!$F$34:$F$57,0),1)&amp;"-C: Yardstick charge used for generation"</f>
        <v>Section 112-C: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25">
      <c r="D156" s="32"/>
      <c r="E156" s="32"/>
      <c r="I156" t="s">
        <v>154</v>
      </c>
      <c r="J156" s="89"/>
      <c r="K156" s="89"/>
      <c r="L156" s="89"/>
      <c r="M156" s="89"/>
      <c r="N156" s="89"/>
      <c r="O156" s="89"/>
      <c r="P156" s="89"/>
      <c r="Q156" s="89"/>
      <c r="R156" s="89"/>
      <c r="S156" s="89"/>
      <c r="T156" s="89"/>
      <c r="U156" s="89"/>
      <c r="V156" s="89"/>
      <c r="W156" s="89"/>
      <c r="X156" s="89"/>
      <c r="Y156" s="89"/>
      <c r="AA156" t="s">
        <v>678</v>
      </c>
    </row>
    <row r="157" spans="2:27" x14ac:dyDescent="0.25">
      <c r="D157"/>
      <c r="E157" s="32" t="s">
        <v>621</v>
      </c>
      <c r="J157" s="89"/>
      <c r="K157" s="89"/>
      <c r="L157" s="89"/>
      <c r="M157" s="89"/>
      <c r="N157" s="89"/>
      <c r="O157" s="89"/>
      <c r="P157" s="89"/>
      <c r="Q157" s="89"/>
      <c r="R157" s="89"/>
      <c r="S157" s="89"/>
      <c r="T157" s="89"/>
      <c r="U157" s="89"/>
      <c r="V157" s="89"/>
      <c r="W157" s="89"/>
      <c r="X157" s="89"/>
      <c r="Y157" s="89"/>
    </row>
    <row r="158" spans="2:27" x14ac:dyDescent="0.25">
      <c r="D158"/>
      <c r="F158" s="23" t="s">
        <v>189</v>
      </c>
      <c r="G158" s="23" t="s">
        <v>269</v>
      </c>
      <c r="H158" s="270"/>
      <c r="I158" s="270"/>
      <c r="J158" s="288"/>
      <c r="K158" s="288"/>
      <c r="L158" s="288"/>
      <c r="M158" s="288"/>
      <c r="N158" s="288"/>
      <c r="O158" s="288"/>
      <c r="P158" s="288"/>
      <c r="Q158" s="288"/>
      <c r="R158" s="288"/>
      <c r="S158" s="288"/>
      <c r="T158" s="288"/>
      <c r="U158" s="288"/>
      <c r="V158" s="288"/>
      <c r="W158" s="288"/>
      <c r="X158" s="288"/>
      <c r="Y158" s="288"/>
      <c r="Z158" s="272"/>
      <c r="AA158" s="272"/>
    </row>
    <row r="159" spans="2:27" x14ac:dyDescent="0.25">
      <c r="D159"/>
      <c r="F159" t="s">
        <v>191</v>
      </c>
      <c r="G159" t="s">
        <v>269</v>
      </c>
      <c r="H159" s="272"/>
      <c r="I159" s="272"/>
      <c r="J159" s="273"/>
      <c r="K159" s="273"/>
      <c r="L159" s="273"/>
      <c r="M159" s="273"/>
      <c r="N159" s="273"/>
      <c r="O159" s="273"/>
      <c r="P159" s="273"/>
      <c r="Q159" s="273"/>
      <c r="R159" s="273"/>
      <c r="S159" s="273"/>
      <c r="T159" s="273"/>
      <c r="U159" s="273"/>
      <c r="V159" s="273"/>
      <c r="W159" s="273"/>
      <c r="X159" s="273"/>
      <c r="Y159" s="273"/>
      <c r="Z159" s="272"/>
      <c r="AA159" s="272"/>
    </row>
    <row r="160" spans="2:27" x14ac:dyDescent="0.25">
      <c r="D160"/>
      <c r="F160" t="s">
        <v>192</v>
      </c>
      <c r="G160" t="s">
        <v>269</v>
      </c>
      <c r="H160" s="272"/>
      <c r="I160" s="272"/>
      <c r="J160" s="273"/>
      <c r="K160" s="273"/>
      <c r="L160" s="273"/>
      <c r="M160" s="273"/>
      <c r="N160" s="273"/>
      <c r="O160" s="273"/>
      <c r="P160" s="273"/>
      <c r="Q160" s="273"/>
      <c r="R160" s="290">
        <f t="shared" ref="R160:S160" si="0">hundred * $H51 * R95 / $H37 * (1 - R109) / hours_in_year</f>
        <v>0</v>
      </c>
      <c r="S160" s="290">
        <f t="shared" si="0"/>
        <v>0</v>
      </c>
      <c r="T160" s="290">
        <f t="shared" ref="T160:U160" si="1">hundred * $H51 * T95 / $H37 * (1 - T109) / hours_in_year</f>
        <v>0</v>
      </c>
      <c r="U160" s="290">
        <f t="shared" si="1"/>
        <v>0</v>
      </c>
      <c r="V160" s="290">
        <f t="shared" ref="V160:W160" si="2">hundred * $H51 * V95 / $H37 * (1 - V109) / hours_in_year</f>
        <v>0</v>
      </c>
      <c r="W160" s="290">
        <f t="shared" si="2"/>
        <v>0</v>
      </c>
      <c r="X160" s="290">
        <f t="shared" ref="X160:Y160" si="3">hundred * $H51 * X95 / $H37 * (1 - X109) / hours_in_year</f>
        <v>0</v>
      </c>
      <c r="Y160" s="290">
        <f t="shared" si="3"/>
        <v>0</v>
      </c>
      <c r="Z160" s="272"/>
      <c r="AA160" s="272"/>
    </row>
    <row r="161" spans="5:27" customFormat="1" x14ac:dyDescent="0.25">
      <c r="E161" s="2"/>
      <c r="F161" t="s">
        <v>193</v>
      </c>
      <c r="G161" t="s">
        <v>269</v>
      </c>
      <c r="H161" s="272"/>
      <c r="I161" s="272"/>
      <c r="J161" s="273"/>
      <c r="K161" s="273"/>
      <c r="L161" s="273"/>
      <c r="M161" s="273"/>
      <c r="N161" s="273"/>
      <c r="O161" s="273"/>
      <c r="P161" s="273"/>
      <c r="Q161" s="273"/>
      <c r="R161" s="290">
        <f t="shared" ref="R161:S161" si="4">hundred * $H52 * R96 / $H38 * (1 - R110) / hours_in_year</f>
        <v>0</v>
      </c>
      <c r="S161" s="290">
        <f t="shared" si="4"/>
        <v>0</v>
      </c>
      <c r="T161" s="290">
        <f t="shared" ref="T161:U161" si="5">hundred * $H52 * T96 / $H38 * (1 - T110) / hours_in_year</f>
        <v>0</v>
      </c>
      <c r="U161" s="290">
        <f t="shared" si="5"/>
        <v>0</v>
      </c>
      <c r="V161" s="290">
        <f t="shared" ref="V161:W161" si="6">hundred * $H52 * V96 / $H38 * (1 - V110) / hours_in_year</f>
        <v>0</v>
      </c>
      <c r="W161" s="290">
        <f t="shared" si="6"/>
        <v>0</v>
      </c>
      <c r="X161" s="290">
        <f t="shared" ref="X161:Y161" si="7">hundred * $H52 * X96 / $H38 * (1 - X110) / hours_in_year</f>
        <v>0</v>
      </c>
      <c r="Y161" s="290">
        <f t="shared" si="7"/>
        <v>0</v>
      </c>
      <c r="Z161" s="272"/>
      <c r="AA161" s="272"/>
    </row>
    <row r="162" spans="5:27" customFormat="1" x14ac:dyDescent="0.25">
      <c r="E162" s="2"/>
      <c r="F162" t="s">
        <v>194</v>
      </c>
      <c r="G162" t="s">
        <v>269</v>
      </c>
      <c r="H162" s="272"/>
      <c r="I162" s="272"/>
      <c r="J162" s="273"/>
      <c r="K162" s="273"/>
      <c r="L162" s="273"/>
      <c r="M162" s="273"/>
      <c r="N162" s="273"/>
      <c r="O162" s="273"/>
      <c r="P162" s="273"/>
      <c r="Q162" s="273"/>
      <c r="R162" s="290">
        <f t="shared" ref="R162:S162" si="8">hundred * $H53 * R97 / $H39 * (1 - R111) / hours_in_year</f>
        <v>-0.10452895208764383</v>
      </c>
      <c r="S162" s="290">
        <f t="shared" si="8"/>
        <v>-0.10127736528894309</v>
      </c>
      <c r="T162" s="290">
        <f t="shared" ref="T162:U162" si="9">hundred * $H53 * T97 / $H39 * (1 - T111) / hours_in_year</f>
        <v>-0.10452895208764383</v>
      </c>
      <c r="U162" s="290">
        <f t="shared" si="9"/>
        <v>-0.10452895208764383</v>
      </c>
      <c r="V162" s="290">
        <f t="shared" ref="V162:W162" si="10">hundred * $H53 * V97 / $H39 * (1 - V111) / hours_in_year</f>
        <v>-0.10127736528894309</v>
      </c>
      <c r="W162" s="290">
        <f t="shared" si="10"/>
        <v>-0.10127736528894309</v>
      </c>
      <c r="X162" s="290">
        <f t="shared" ref="X162:Y162" si="11">hundred * $H53 * X97 / $H39 * (1 - X111) / hours_in_year</f>
        <v>-9.8552836120776741E-2</v>
      </c>
      <c r="Y162" s="290">
        <f t="shared" si="11"/>
        <v>-9.8552836120776741E-2</v>
      </c>
      <c r="Z162" s="272"/>
      <c r="AA162" s="272"/>
    </row>
    <row r="163" spans="5:27" customFormat="1" x14ac:dyDescent="0.25">
      <c r="E163" s="2"/>
      <c r="F163" t="s">
        <v>195</v>
      </c>
      <c r="G163" t="s">
        <v>269</v>
      </c>
      <c r="H163" s="272"/>
      <c r="I163" s="272"/>
      <c r="J163" s="273"/>
      <c r="K163" s="273"/>
      <c r="L163" s="273"/>
      <c r="M163" s="273"/>
      <c r="N163" s="273"/>
      <c r="O163" s="273"/>
      <c r="P163" s="273"/>
      <c r="Q163" s="273"/>
      <c r="R163" s="290">
        <f t="shared" ref="R163:S163" si="12">hundred * $H54 * R98 / $H40 * (1 - R112) / hours_in_year</f>
        <v>-9.4793691565743909E-2</v>
      </c>
      <c r="S163" s="290">
        <f t="shared" si="12"/>
        <v>-9.1844939952536869E-2</v>
      </c>
      <c r="T163" s="290">
        <f t="shared" ref="T163:U163" si="13">hundred * $H54 * T98 / $H40 * (1 - T112) / hours_in_year</f>
        <v>-9.4793691565743909E-2</v>
      </c>
      <c r="U163" s="290">
        <f t="shared" si="13"/>
        <v>-9.4793691565743909E-2</v>
      </c>
      <c r="V163" s="290">
        <f t="shared" ref="V163:W163" si="14">hundred * $H54 * V98 / $H40 * (1 - V112) / hours_in_year</f>
        <v>-9.1844939952536869E-2</v>
      </c>
      <c r="W163" s="290">
        <f t="shared" si="14"/>
        <v>-9.1844939952536869E-2</v>
      </c>
      <c r="X163" s="290">
        <f t="shared" ref="X163:Y163" si="15">hundred * $H54 * X98 / $H40 * (1 - X112) / hours_in_year</f>
        <v>-8.9542974376389348E-2</v>
      </c>
      <c r="Y163" s="290">
        <f t="shared" si="15"/>
        <v>-8.9542974376389348E-2</v>
      </c>
      <c r="Z163" s="272"/>
      <c r="AA163" s="272"/>
    </row>
    <row r="164" spans="5:27" customFormat="1" x14ac:dyDescent="0.25">
      <c r="E164" s="2"/>
      <c r="F164" t="s">
        <v>196</v>
      </c>
      <c r="G164" t="s">
        <v>269</v>
      </c>
      <c r="H164" s="272"/>
      <c r="I164" s="272"/>
      <c r="J164" s="273"/>
      <c r="K164" s="273"/>
      <c r="L164" s="273"/>
      <c r="M164" s="273"/>
      <c r="N164" s="273"/>
      <c r="O164" s="273"/>
      <c r="P164" s="273"/>
      <c r="Q164" s="273"/>
      <c r="R164" s="290">
        <f t="shared" ref="R164:S164" si="16">hundred * $H55 * R99 / $H41 * (1 - R113) / hours_in_year</f>
        <v>0</v>
      </c>
      <c r="S164" s="290">
        <f t="shared" si="16"/>
        <v>0</v>
      </c>
      <c r="T164" s="290">
        <f t="shared" ref="T164:U164" si="17">hundred * $H55 * T99 / $H41 * (1 - T113) / hours_in_year</f>
        <v>0</v>
      </c>
      <c r="U164" s="290">
        <f t="shared" si="17"/>
        <v>0</v>
      </c>
      <c r="V164" s="290">
        <f t="shared" ref="V164:W164" si="18">hundred * $H55 * V99 / $H41 * (1 - V113) / hours_in_year</f>
        <v>0</v>
      </c>
      <c r="W164" s="290">
        <f t="shared" si="18"/>
        <v>0</v>
      </c>
      <c r="X164" s="290">
        <f t="shared" ref="X164:Y164" si="19">hundred * $H55 * X99 / $H41 * (1 - X113) / hours_in_year</f>
        <v>0</v>
      </c>
      <c r="Y164" s="290">
        <f t="shared" si="19"/>
        <v>0</v>
      </c>
      <c r="Z164" s="272"/>
      <c r="AA164" s="272"/>
    </row>
    <row r="165" spans="5:27" customFormat="1" x14ac:dyDescent="0.25">
      <c r="E165" s="2"/>
      <c r="F165" t="s">
        <v>197</v>
      </c>
      <c r="G165" t="s">
        <v>269</v>
      </c>
      <c r="H165" s="272"/>
      <c r="I165" s="272"/>
      <c r="J165" s="273"/>
      <c r="K165" s="273"/>
      <c r="L165" s="273"/>
      <c r="M165" s="273"/>
      <c r="N165" s="273"/>
      <c r="O165" s="273"/>
      <c r="P165" s="273"/>
      <c r="Q165" s="273"/>
      <c r="R165" s="290">
        <f t="shared" ref="R165:S165" si="20">hundred * $H56 * R100 / $H42 * (1 - R114) / hours_in_year</f>
        <v>-0.22608743825392474</v>
      </c>
      <c r="S165" s="290">
        <f t="shared" si="20"/>
        <v>-0.21905452617649254</v>
      </c>
      <c r="T165" s="290">
        <f t="shared" ref="T165:U165" si="21">hundred * $H56 * T100 / $H42 * (1 - T114) / hours_in_year</f>
        <v>-0.22608743825392474</v>
      </c>
      <c r="U165" s="290">
        <f t="shared" si="21"/>
        <v>-0.22608743825392474</v>
      </c>
      <c r="V165" s="290">
        <f t="shared" ref="V165:W165" si="22">hundred * $H56 * V100 / $H42 * (1 - V114) / hours_in_year</f>
        <v>-0.21905452617649254</v>
      </c>
      <c r="W165" s="290">
        <f t="shared" si="22"/>
        <v>-0.21905452617649254</v>
      </c>
      <c r="X165" s="290">
        <f t="shared" ref="X165:Y165" si="23">hundred * $H56 * X100 / $H42 * (1 - X114) / hours_in_year</f>
        <v>-0.2278141044186949</v>
      </c>
      <c r="Y165" s="290">
        <f t="shared" si="23"/>
        <v>-0.2278141044186949</v>
      </c>
      <c r="Z165" s="272"/>
      <c r="AA165" s="272"/>
    </row>
    <row r="166" spans="5:27" customFormat="1" x14ac:dyDescent="0.25">
      <c r="E166" s="2"/>
      <c r="F166" t="s">
        <v>198</v>
      </c>
      <c r="G166" t="s">
        <v>269</v>
      </c>
      <c r="H166" s="272"/>
      <c r="I166" s="272"/>
      <c r="J166" s="273"/>
      <c r="K166" s="273"/>
      <c r="L166" s="273"/>
      <c r="M166" s="273"/>
      <c r="N166" s="273"/>
      <c r="O166" s="273"/>
      <c r="P166" s="273"/>
      <c r="Q166" s="273"/>
      <c r="R166" s="290">
        <f t="shared" ref="R166:S166" si="24">hundred * $H57 * R101 / $H43 * (1 - R115) / hours_in_year</f>
        <v>-2.0706519678392845E-2</v>
      </c>
      <c r="S166" s="290">
        <f t="shared" si="24"/>
        <v>-2.0062401042468456E-2</v>
      </c>
      <c r="T166" s="290">
        <f t="shared" ref="T166:U166" si="25">hundred * $H57 * T101 / $H43 * (1 - T115) / hours_in_year</f>
        <v>-2.0706519678392845E-2</v>
      </c>
      <c r="U166" s="290">
        <f t="shared" si="25"/>
        <v>-2.0706519678392845E-2</v>
      </c>
      <c r="V166" s="290">
        <f t="shared" ref="V166:W166" si="26">hundred * $H57 * V101 / $H43 * (1 - V115) / hours_in_year</f>
        <v>-2.0062401042468456E-2</v>
      </c>
      <c r="W166" s="290">
        <f t="shared" si="26"/>
        <v>-2.0062401042468456E-2</v>
      </c>
      <c r="X166" s="290">
        <f t="shared" ref="X166:Y166" si="27">hundred * $H57 * X101 / $H43 * (1 - X115) / hours_in_year</f>
        <v>0</v>
      </c>
      <c r="Y166" s="290">
        <f t="shared" si="27"/>
        <v>0</v>
      </c>
      <c r="Z166" s="272"/>
      <c r="AA166" s="272"/>
    </row>
    <row r="167" spans="5:27" customFormat="1" x14ac:dyDescent="0.25">
      <c r="E167" s="2"/>
      <c r="F167" t="s">
        <v>199</v>
      </c>
      <c r="G167" t="s">
        <v>269</v>
      </c>
      <c r="H167" s="272"/>
      <c r="I167" s="272"/>
      <c r="J167" s="273"/>
      <c r="K167" s="273"/>
      <c r="L167" s="273"/>
      <c r="M167" s="273"/>
      <c r="N167" s="273"/>
      <c r="O167" s="273"/>
      <c r="P167" s="273"/>
      <c r="Q167" s="273"/>
      <c r="R167" s="290">
        <f t="shared" ref="R167:S167" si="28">hundred * $H58 * R102 / $H44 * (1 - R116) / hours_in_year</f>
        <v>-7.5197524254782978E-3</v>
      </c>
      <c r="S167" s="290">
        <f t="shared" si="28"/>
        <v>0</v>
      </c>
      <c r="T167" s="290">
        <f t="shared" ref="T167:U167" si="29">hundred * $H58 * T102 / $H44 * (1 - T116) / hours_in_year</f>
        <v>-7.5197524254782978E-3</v>
      </c>
      <c r="U167" s="290">
        <f t="shared" si="29"/>
        <v>-7.5197524254782978E-3</v>
      </c>
      <c r="V167" s="290">
        <f t="shared" ref="V167:W167" si="30">hundred * $H58 * V102 / $H44 * (1 - V116) / hours_in_year</f>
        <v>0</v>
      </c>
      <c r="W167" s="290">
        <f t="shared" si="30"/>
        <v>0</v>
      </c>
      <c r="X167" s="290">
        <f t="shared" ref="X167:Y167" si="31">hundred * $H58 * X102 / $H44 * (1 - X116) / hours_in_year</f>
        <v>0</v>
      </c>
      <c r="Y167" s="290">
        <f t="shared" si="31"/>
        <v>0</v>
      </c>
      <c r="Z167" s="272"/>
      <c r="AA167" s="272"/>
    </row>
    <row r="168" spans="5:27" customFormat="1" x14ac:dyDescent="0.25">
      <c r="E168" s="2"/>
      <c r="F168" t="s">
        <v>376</v>
      </c>
      <c r="G168" t="s">
        <v>269</v>
      </c>
      <c r="H168" s="272"/>
      <c r="I168" s="272"/>
      <c r="J168" s="273"/>
      <c r="K168" s="273"/>
      <c r="L168" s="273"/>
      <c r="M168" s="273"/>
      <c r="N168" s="273"/>
      <c r="O168" s="273"/>
      <c r="P168" s="273"/>
      <c r="Q168" s="273"/>
      <c r="R168" s="273"/>
      <c r="S168" s="273"/>
      <c r="T168" s="273"/>
      <c r="U168" s="273"/>
      <c r="V168" s="273"/>
      <c r="W168" s="273"/>
      <c r="X168" s="273"/>
      <c r="Y168" s="273"/>
      <c r="Z168" s="272"/>
      <c r="AA168" s="272"/>
    </row>
    <row r="169" spans="5:27" customFormat="1" x14ac:dyDescent="0.25">
      <c r="E169" s="2"/>
      <c r="F169" s="37" t="s">
        <v>377</v>
      </c>
      <c r="G169" s="37" t="s">
        <v>269</v>
      </c>
      <c r="H169" s="276"/>
      <c r="I169" s="276"/>
      <c r="J169" s="277"/>
      <c r="K169" s="277"/>
      <c r="L169" s="277"/>
      <c r="M169" s="277"/>
      <c r="N169" s="277"/>
      <c r="O169" s="277"/>
      <c r="P169" s="277"/>
      <c r="Q169" s="277"/>
      <c r="R169" s="277"/>
      <c r="S169" s="277"/>
      <c r="T169" s="277"/>
      <c r="U169" s="277"/>
      <c r="V169" s="277"/>
      <c r="W169" s="277"/>
      <c r="X169" s="277"/>
      <c r="Y169" s="277"/>
      <c r="Z169" s="272"/>
      <c r="AA169" s="272"/>
    </row>
    <row r="170" spans="5:27" customFormat="1" x14ac:dyDescent="0.25">
      <c r="E170" s="2"/>
      <c r="J170" s="89"/>
      <c r="K170" s="89"/>
      <c r="L170" s="89"/>
      <c r="M170" s="89"/>
      <c r="N170" s="89"/>
      <c r="O170" s="89"/>
      <c r="P170" s="89"/>
      <c r="Q170" s="89"/>
      <c r="R170" s="89"/>
      <c r="S170" s="89"/>
      <c r="T170" s="89"/>
      <c r="U170" s="89"/>
      <c r="V170" s="89"/>
      <c r="W170" s="89"/>
      <c r="X170" s="89"/>
      <c r="Y170" s="89"/>
    </row>
    <row r="171" spans="5:27" customFormat="1" x14ac:dyDescent="0.25">
      <c r="E171" s="32" t="s">
        <v>622</v>
      </c>
      <c r="J171" s="89"/>
      <c r="K171" s="89"/>
      <c r="L171" s="89"/>
      <c r="M171" s="89"/>
      <c r="N171" s="89"/>
      <c r="O171" s="89"/>
      <c r="P171" s="89"/>
      <c r="Q171" s="89"/>
      <c r="R171" s="89"/>
      <c r="S171" s="89"/>
      <c r="T171" s="89"/>
      <c r="U171" s="89"/>
      <c r="V171" s="89"/>
      <c r="W171" s="89"/>
      <c r="X171" s="89"/>
      <c r="Y171" s="89"/>
    </row>
    <row r="172" spans="5:27" customFormat="1" x14ac:dyDescent="0.25">
      <c r="E172" s="2"/>
      <c r="F172" s="23" t="s">
        <v>189</v>
      </c>
      <c r="G172" s="23" t="s">
        <v>269</v>
      </c>
      <c r="H172" s="270"/>
      <c r="I172" s="270"/>
      <c r="J172" s="288"/>
      <c r="K172" s="288"/>
      <c r="L172" s="288"/>
      <c r="M172" s="288"/>
      <c r="N172" s="288"/>
      <c r="O172" s="288"/>
      <c r="P172" s="288"/>
      <c r="Q172" s="288"/>
      <c r="R172" s="289">
        <f t="shared" ref="R172:S172" si="32">hundred * $H63 * R93 / $H35 / hours_in_year</f>
        <v>-0.30878255696658446</v>
      </c>
      <c r="S172" s="289">
        <f t="shared" si="32"/>
        <v>-0.29917724412407398</v>
      </c>
      <c r="T172" s="289">
        <f t="shared" ref="T172:U172" si="33">hundred * $H63 * T93 / $H35 / hours_in_year</f>
        <v>-0.30878255696658446</v>
      </c>
      <c r="U172" s="289">
        <f t="shared" si="33"/>
        <v>-0.30878255696658446</v>
      </c>
      <c r="V172" s="289">
        <f t="shared" ref="V172:W172" si="34">hundred * $H63 * V93 / $H35 / hours_in_year</f>
        <v>-0.29917724412407398</v>
      </c>
      <c r="W172" s="289">
        <f t="shared" si="34"/>
        <v>-0.29917724412407398</v>
      </c>
      <c r="X172" s="289">
        <f t="shared" ref="X172:Y172" si="35">hundred * $H63 * X93 / $H35 / hours_in_year</f>
        <v>-0.29267953249531703</v>
      </c>
      <c r="Y172" s="289">
        <f t="shared" si="35"/>
        <v>-0.29267953249531703</v>
      </c>
      <c r="Z172" s="272"/>
      <c r="AA172" s="272"/>
    </row>
    <row r="173" spans="5:27" customFormat="1" x14ac:dyDescent="0.25">
      <c r="E173" s="2"/>
      <c r="F173" t="s">
        <v>191</v>
      </c>
      <c r="G173" t="s">
        <v>269</v>
      </c>
      <c r="H173" s="272"/>
      <c r="I173" s="272"/>
      <c r="J173" s="273"/>
      <c r="K173" s="273"/>
      <c r="L173" s="273"/>
      <c r="M173" s="273"/>
      <c r="N173" s="273"/>
      <c r="O173" s="273"/>
      <c r="P173" s="273"/>
      <c r="Q173" s="273"/>
      <c r="R173" s="290">
        <f t="shared" ref="R173:S173" si="36">hundred * $H64 * R94 / $H36 / hours_in_year</f>
        <v>0</v>
      </c>
      <c r="S173" s="290">
        <f t="shared" si="36"/>
        <v>0</v>
      </c>
      <c r="T173" s="290">
        <f t="shared" ref="T173:U173" si="37">hundred * $H64 * T94 / $H36 / hours_in_year</f>
        <v>0</v>
      </c>
      <c r="U173" s="290">
        <f t="shared" si="37"/>
        <v>0</v>
      </c>
      <c r="V173" s="290">
        <f t="shared" ref="V173:W173" si="38">hundred * $H64 * V94 / $H36 / hours_in_year</f>
        <v>0</v>
      </c>
      <c r="W173" s="290">
        <f t="shared" si="38"/>
        <v>0</v>
      </c>
      <c r="X173" s="290">
        <f t="shared" ref="X173:Y173" si="39">hundred * $H64 * X94 / $H36 / hours_in_year</f>
        <v>0</v>
      </c>
      <c r="Y173" s="290">
        <f t="shared" si="39"/>
        <v>0</v>
      </c>
      <c r="Z173" s="272"/>
      <c r="AA173" s="272"/>
    </row>
    <row r="174" spans="5:27" customFormat="1" x14ac:dyDescent="0.25">
      <c r="E174" s="2"/>
      <c r="F174" t="s">
        <v>192</v>
      </c>
      <c r="G174" t="s">
        <v>269</v>
      </c>
      <c r="H174" s="272"/>
      <c r="I174" s="272"/>
      <c r="J174" s="273"/>
      <c r="K174" s="273"/>
      <c r="L174" s="273"/>
      <c r="M174" s="273"/>
      <c r="N174" s="273"/>
      <c r="O174" s="273"/>
      <c r="P174" s="273"/>
      <c r="Q174" s="273"/>
      <c r="R174" s="290">
        <f t="shared" ref="R174:S174" si="40">hundred * $H65 * R95 / $H37 / hours_in_year</f>
        <v>0</v>
      </c>
      <c r="S174" s="290">
        <f t="shared" si="40"/>
        <v>0</v>
      </c>
      <c r="T174" s="290">
        <f t="shared" ref="T174:U174" si="41">hundred * $H65 * T95 / $H37 / hours_in_year</f>
        <v>0</v>
      </c>
      <c r="U174" s="290">
        <f t="shared" si="41"/>
        <v>0</v>
      </c>
      <c r="V174" s="290">
        <f t="shared" ref="V174:W174" si="42">hundred * $H65 * V95 / $H37 / hours_in_year</f>
        <v>0</v>
      </c>
      <c r="W174" s="290">
        <f t="shared" si="42"/>
        <v>0</v>
      </c>
      <c r="X174" s="290">
        <f t="shared" ref="X174:Y174" si="43">hundred * $H65 * X95 / $H37 / hours_in_year</f>
        <v>0</v>
      </c>
      <c r="Y174" s="290">
        <f t="shared" si="43"/>
        <v>0</v>
      </c>
      <c r="Z174" s="272"/>
      <c r="AA174" s="272"/>
    </row>
    <row r="175" spans="5:27" customFormat="1" x14ac:dyDescent="0.25">
      <c r="E175" s="2"/>
      <c r="F175" t="s">
        <v>193</v>
      </c>
      <c r="G175" t="s">
        <v>269</v>
      </c>
      <c r="H175" s="272"/>
      <c r="I175" s="272"/>
      <c r="J175" s="273"/>
      <c r="K175" s="273"/>
      <c r="L175" s="273"/>
      <c r="M175" s="273"/>
      <c r="N175" s="273"/>
      <c r="O175" s="273"/>
      <c r="P175" s="273"/>
      <c r="Q175" s="273"/>
      <c r="R175" s="290">
        <f t="shared" ref="R175:S175" si="44">hundred * $H66 * R96 / $H38 / hours_in_year</f>
        <v>0</v>
      </c>
      <c r="S175" s="290">
        <f t="shared" si="44"/>
        <v>0</v>
      </c>
      <c r="T175" s="290">
        <f t="shared" ref="T175:U175" si="45">hundred * $H66 * T96 / $H38 / hours_in_year</f>
        <v>0</v>
      </c>
      <c r="U175" s="290">
        <f t="shared" si="45"/>
        <v>0</v>
      </c>
      <c r="V175" s="290">
        <f t="shared" ref="V175:W175" si="46">hundred * $H66 * V96 / $H38 / hours_in_year</f>
        <v>0</v>
      </c>
      <c r="W175" s="290">
        <f t="shared" si="46"/>
        <v>0</v>
      </c>
      <c r="X175" s="290">
        <f t="shared" ref="X175:Y175" si="47">hundred * $H66 * X96 / $H38 / hours_in_year</f>
        <v>0</v>
      </c>
      <c r="Y175" s="290">
        <f t="shared" si="47"/>
        <v>0</v>
      </c>
      <c r="Z175" s="272"/>
      <c r="AA175" s="272"/>
    </row>
    <row r="176" spans="5:27" customFormat="1" x14ac:dyDescent="0.25">
      <c r="E176" s="2"/>
      <c r="F176" t="s">
        <v>194</v>
      </c>
      <c r="G176" t="s">
        <v>269</v>
      </c>
      <c r="H176" s="272"/>
      <c r="I176" s="272"/>
      <c r="J176" s="273"/>
      <c r="K176" s="273"/>
      <c r="L176" s="273"/>
      <c r="M176" s="273"/>
      <c r="N176" s="273"/>
      <c r="O176" s="273"/>
      <c r="P176" s="273"/>
      <c r="Q176" s="273"/>
      <c r="R176" s="290">
        <f t="shared" ref="R176:S176" si="48">hundred * $H67 * R97 / $H39 / hours_in_year</f>
        <v>-8.8487769675032954E-2</v>
      </c>
      <c r="S176" s="290">
        <f t="shared" si="48"/>
        <v>-8.5735176656779405E-2</v>
      </c>
      <c r="T176" s="290">
        <f t="shared" ref="T176:U176" si="49">hundred * $H67 * T97 / $H39 / hours_in_year</f>
        <v>-8.8487769675032954E-2</v>
      </c>
      <c r="U176" s="290">
        <f t="shared" si="49"/>
        <v>-8.8487769675032954E-2</v>
      </c>
      <c r="V176" s="290">
        <f t="shared" ref="V176:W176" si="50">hundred * $H67 * V97 / $H39 / hours_in_year</f>
        <v>-8.5735176656779405E-2</v>
      </c>
      <c r="W176" s="290">
        <f t="shared" si="50"/>
        <v>-8.5735176656779405E-2</v>
      </c>
      <c r="X176" s="290">
        <f t="shared" ref="X176:Y176" si="51">hundred * $H67 * X97 / $H39 / hours_in_year</f>
        <v>-8.3873128438549091E-2</v>
      </c>
      <c r="Y176" s="290">
        <f t="shared" si="51"/>
        <v>-8.3873128438549091E-2</v>
      </c>
      <c r="Z176" s="272"/>
      <c r="AA176" s="272"/>
    </row>
    <row r="177" spans="2:27" x14ac:dyDescent="0.25">
      <c r="D177"/>
      <c r="F177" t="s">
        <v>195</v>
      </c>
      <c r="G177" t="s">
        <v>269</v>
      </c>
      <c r="H177" s="272"/>
      <c r="I177" s="272"/>
      <c r="J177" s="273"/>
      <c r="K177" s="273"/>
      <c r="L177" s="273"/>
      <c r="M177" s="273"/>
      <c r="N177" s="273"/>
      <c r="O177" s="273"/>
      <c r="P177" s="273"/>
      <c r="Q177" s="273"/>
      <c r="R177" s="290">
        <f t="shared" ref="R177:S177" si="52">hundred * $H68 * R98 / $H40 / hours_in_year</f>
        <v>-8.0063407066862297E-2</v>
      </c>
      <c r="S177" s="290">
        <f t="shared" si="52"/>
        <v>-7.7572871073931543E-2</v>
      </c>
      <c r="T177" s="290">
        <f t="shared" ref="T177:U177" si="53">hundred * $H68 * T98 / $H40 / hours_in_year</f>
        <v>-8.0063407066862297E-2</v>
      </c>
      <c r="U177" s="290">
        <f t="shared" si="53"/>
        <v>-8.0063407066862297E-2</v>
      </c>
      <c r="V177" s="290">
        <f t="shared" ref="V177:W177" si="54">hundred * $H68 * V98 / $H40 / hours_in_year</f>
        <v>-7.7572871073931543E-2</v>
      </c>
      <c r="W177" s="290">
        <f t="shared" si="54"/>
        <v>-7.7572871073931543E-2</v>
      </c>
      <c r="X177" s="290">
        <f t="shared" ref="X177:Y177" si="55">hundred * $H68 * X98 / $H40 / hours_in_year</f>
        <v>-7.58880967257725E-2</v>
      </c>
      <c r="Y177" s="290">
        <f t="shared" si="55"/>
        <v>-7.58880967257725E-2</v>
      </c>
      <c r="Z177" s="272"/>
      <c r="AA177" s="272"/>
    </row>
    <row r="178" spans="2:27" x14ac:dyDescent="0.25">
      <c r="D178"/>
      <c r="F178" t="s">
        <v>196</v>
      </c>
      <c r="G178" t="s">
        <v>269</v>
      </c>
      <c r="H178" s="272"/>
      <c r="I178" s="272"/>
      <c r="J178" s="273"/>
      <c r="K178" s="273"/>
      <c r="L178" s="273"/>
      <c r="M178" s="273"/>
      <c r="N178" s="273"/>
      <c r="O178" s="273"/>
      <c r="P178" s="273"/>
      <c r="Q178" s="273"/>
      <c r="R178" s="290">
        <f t="shared" ref="R178:S178" si="56">hundred * $H69 * R99 / $H41 / hours_in_year</f>
        <v>0</v>
      </c>
      <c r="S178" s="290">
        <f t="shared" si="56"/>
        <v>0</v>
      </c>
      <c r="T178" s="290">
        <f t="shared" ref="T178:U178" si="57">hundred * $H69 * T99 / $H41 / hours_in_year</f>
        <v>0</v>
      </c>
      <c r="U178" s="290">
        <f t="shared" si="57"/>
        <v>0</v>
      </c>
      <c r="V178" s="290">
        <f t="shared" ref="V178:W178" si="58">hundred * $H69 * V99 / $H41 / hours_in_year</f>
        <v>0</v>
      </c>
      <c r="W178" s="290">
        <f t="shared" si="58"/>
        <v>0</v>
      </c>
      <c r="X178" s="290">
        <f t="shared" ref="X178:Y178" si="59">hundred * $H69 * X99 / $H41 / hours_in_year</f>
        <v>0</v>
      </c>
      <c r="Y178" s="290">
        <f t="shared" si="59"/>
        <v>0</v>
      </c>
      <c r="Z178" s="272"/>
      <c r="AA178" s="272"/>
    </row>
    <row r="179" spans="2:27" x14ac:dyDescent="0.25">
      <c r="D179"/>
      <c r="F179" t="s">
        <v>197</v>
      </c>
      <c r="G179" t="s">
        <v>269</v>
      </c>
      <c r="H179" s="272"/>
      <c r="I179" s="272"/>
      <c r="J179" s="273"/>
      <c r="K179" s="273"/>
      <c r="L179" s="273"/>
      <c r="M179" s="273"/>
      <c r="N179" s="273"/>
      <c r="O179" s="273"/>
      <c r="P179" s="273"/>
      <c r="Q179" s="273"/>
      <c r="R179" s="290">
        <f t="shared" ref="R179:S179" si="60">hundred * $H70 * R100 / $H42 / hours_in_year</f>
        <v>-0.33084235962254488</v>
      </c>
      <c r="S179" s="290">
        <f t="shared" si="60"/>
        <v>-0.32055083150985819</v>
      </c>
      <c r="T179" s="290">
        <f t="shared" ref="T179:U179" si="61">hundred * $H70 * T100 / $H42 / hours_in_year</f>
        <v>-0.33084235962254488</v>
      </c>
      <c r="U179" s="290">
        <f t="shared" si="61"/>
        <v>-0.33084235962254488</v>
      </c>
      <c r="V179" s="290">
        <f t="shared" ref="V179:W179" si="62">hundred * $H70 * V100 / $H42 / hours_in_year</f>
        <v>-0.32055083150985819</v>
      </c>
      <c r="W179" s="290">
        <f t="shared" si="62"/>
        <v>-0.32055083150985819</v>
      </c>
      <c r="X179" s="290">
        <f t="shared" ref="X179:Y179" si="63">hundred * $H70 * X100 / $H42 / hours_in_year</f>
        <v>-0.31358891543362899</v>
      </c>
      <c r="Y179" s="290">
        <f t="shared" si="63"/>
        <v>-0.31358891543362899</v>
      </c>
      <c r="Z179" s="272"/>
      <c r="AA179" s="272"/>
    </row>
    <row r="180" spans="2:27" x14ac:dyDescent="0.25">
      <c r="D180"/>
      <c r="F180" t="s">
        <v>198</v>
      </c>
      <c r="G180" t="s">
        <v>269</v>
      </c>
      <c r="H180" s="272"/>
      <c r="I180" s="272"/>
      <c r="J180" s="273"/>
      <c r="K180" s="273"/>
      <c r="L180" s="273"/>
      <c r="M180" s="273"/>
      <c r="N180" s="273"/>
      <c r="O180" s="273"/>
      <c r="P180" s="273"/>
      <c r="Q180" s="273"/>
      <c r="R180" s="290">
        <f t="shared" ref="R180:S180" si="64">hundred * $H71 * R101 / $H43 / hours_in_year</f>
        <v>-8.0113995560303006E-2</v>
      </c>
      <c r="S180" s="290">
        <f t="shared" si="64"/>
        <v>-7.7621885908838867E-2</v>
      </c>
      <c r="T180" s="290">
        <f t="shared" ref="T180:U180" si="65">hundred * $H71 * T101 / $H43 / hours_in_year</f>
        <v>-8.0113995560303006E-2</v>
      </c>
      <c r="U180" s="290">
        <f t="shared" si="65"/>
        <v>-8.0113995560303006E-2</v>
      </c>
      <c r="V180" s="290">
        <f t="shared" ref="V180:W180" si="66">hundred * $H71 * V101 / $H43 / hours_in_year</f>
        <v>-7.7621885908838867E-2</v>
      </c>
      <c r="W180" s="290">
        <f t="shared" si="66"/>
        <v>-7.7621885908838867E-2</v>
      </c>
      <c r="X180" s="290">
        <f t="shared" ref="X180:Y180" si="67">hundred * $H71 * X101 / $H43 / hours_in_year</f>
        <v>0</v>
      </c>
      <c r="Y180" s="290">
        <f t="shared" si="67"/>
        <v>0</v>
      </c>
      <c r="Z180" s="272"/>
      <c r="AA180" s="272"/>
    </row>
    <row r="181" spans="2:27" x14ac:dyDescent="0.25">
      <c r="D181"/>
      <c r="F181" t="s">
        <v>199</v>
      </c>
      <c r="G181" t="s">
        <v>269</v>
      </c>
      <c r="H181" s="272"/>
      <c r="I181" s="272"/>
      <c r="J181" s="273"/>
      <c r="K181" s="273"/>
      <c r="L181" s="273"/>
      <c r="M181" s="273"/>
      <c r="N181" s="273"/>
      <c r="O181" s="273"/>
      <c r="P181" s="273"/>
      <c r="Q181" s="273"/>
      <c r="R181" s="290">
        <f t="shared" ref="R181:S181" si="68">hundred * $H72 * R102 / $H44 / hours_in_year</f>
        <v>-0.19017532234905055</v>
      </c>
      <c r="S181" s="290">
        <f t="shared" si="68"/>
        <v>0</v>
      </c>
      <c r="T181" s="290">
        <f t="shared" ref="T181:U181" si="69">hundred * $H72 * T102 / $H44 / hours_in_year</f>
        <v>-0.19017532234905055</v>
      </c>
      <c r="U181" s="290">
        <f t="shared" si="69"/>
        <v>-0.19017532234905055</v>
      </c>
      <c r="V181" s="290">
        <f t="shared" ref="V181:W181" si="70">hundred * $H72 * V102 / $H44 / hours_in_year</f>
        <v>0</v>
      </c>
      <c r="W181" s="290">
        <f t="shared" si="70"/>
        <v>0</v>
      </c>
      <c r="X181" s="290">
        <f t="shared" ref="X181:Y181" si="71">hundred * $H72 * X102 / $H44 / hours_in_year</f>
        <v>0</v>
      </c>
      <c r="Y181" s="290">
        <f t="shared" si="71"/>
        <v>0</v>
      </c>
      <c r="Z181" s="272"/>
      <c r="AA181" s="272"/>
    </row>
    <row r="182" spans="2:27" x14ac:dyDescent="0.25">
      <c r="D182"/>
      <c r="F182" t="s">
        <v>376</v>
      </c>
      <c r="G182" t="s">
        <v>269</v>
      </c>
      <c r="H182" s="272"/>
      <c r="I182" s="272"/>
      <c r="J182" s="273"/>
      <c r="K182" s="273"/>
      <c r="L182" s="273"/>
      <c r="M182" s="273"/>
      <c r="N182" s="273"/>
      <c r="O182" s="273"/>
      <c r="P182" s="273"/>
      <c r="Q182" s="273"/>
      <c r="R182" s="273"/>
      <c r="S182" s="273"/>
      <c r="T182" s="273"/>
      <c r="U182" s="273"/>
      <c r="V182" s="273"/>
      <c r="W182" s="273"/>
      <c r="X182" s="273"/>
      <c r="Y182" s="273"/>
      <c r="Z182" s="272"/>
      <c r="AA182" s="272"/>
    </row>
    <row r="183" spans="2:27" x14ac:dyDescent="0.25">
      <c r="D183"/>
      <c r="F183" s="37" t="s">
        <v>377</v>
      </c>
      <c r="G183" s="37" t="s">
        <v>269</v>
      </c>
      <c r="H183" s="276"/>
      <c r="I183" s="276"/>
      <c r="J183" s="277"/>
      <c r="K183" s="277"/>
      <c r="L183" s="277"/>
      <c r="M183" s="277"/>
      <c r="N183" s="277"/>
      <c r="O183" s="277"/>
      <c r="P183" s="277"/>
      <c r="Q183" s="277"/>
      <c r="R183" s="277"/>
      <c r="S183" s="277"/>
      <c r="T183" s="277"/>
      <c r="U183" s="277"/>
      <c r="V183" s="277"/>
      <c r="W183" s="277"/>
      <c r="X183" s="277"/>
      <c r="Y183" s="277"/>
      <c r="Z183" s="272"/>
      <c r="AA183" s="272"/>
    </row>
    <row r="184" spans="2:27" x14ac:dyDescent="0.25">
      <c r="D184"/>
      <c r="E184"/>
      <c r="J184" s="89"/>
      <c r="K184" s="89"/>
      <c r="L184" s="89"/>
      <c r="M184" s="89"/>
      <c r="N184" s="89"/>
      <c r="O184" s="89"/>
      <c r="P184" s="89"/>
      <c r="Q184" s="89"/>
      <c r="R184" s="89"/>
      <c r="S184" s="89"/>
      <c r="T184" s="89"/>
      <c r="U184" s="89"/>
      <c r="V184" s="89"/>
      <c r="W184" s="89"/>
      <c r="X184" s="89"/>
      <c r="Y184" s="89"/>
    </row>
    <row r="185" spans="2:27" x14ac:dyDescent="0.25">
      <c r="B185" s="30" t="s">
        <v>679</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25">
      <c r="B186" s="206"/>
      <c r="J186" s="89"/>
      <c r="K186" s="89"/>
      <c r="L186" s="89"/>
      <c r="M186" s="89"/>
      <c r="N186" s="89"/>
      <c r="O186" s="89"/>
      <c r="P186" s="89"/>
      <c r="Q186" s="89"/>
      <c r="R186" s="89"/>
      <c r="S186" s="89"/>
      <c r="T186" s="89"/>
      <c r="U186" s="89"/>
      <c r="V186" s="89"/>
      <c r="W186" s="89"/>
      <c r="X186" s="89"/>
      <c r="Y186" s="89"/>
    </row>
    <row r="187" spans="2:27" x14ac:dyDescent="0.25">
      <c r="B187" s="206"/>
      <c r="C187" s="29" t="s">
        <v>680</v>
      </c>
      <c r="J187" s="89"/>
      <c r="K187" s="89"/>
      <c r="L187" s="89"/>
      <c r="M187" s="89"/>
      <c r="N187" s="89"/>
      <c r="O187" s="89"/>
      <c r="P187" s="89"/>
      <c r="Q187" s="89"/>
      <c r="R187" s="89"/>
      <c r="S187" s="89"/>
      <c r="T187" s="89"/>
      <c r="U187" s="89"/>
      <c r="V187" s="89"/>
      <c r="W187" s="89"/>
      <c r="X187" s="89"/>
      <c r="Y187" s="89"/>
    </row>
    <row r="188" spans="2:27" x14ac:dyDescent="0.25">
      <c r="B188" s="206"/>
      <c r="C188" s="29" t="s">
        <v>681</v>
      </c>
      <c r="I188" t="s">
        <v>154</v>
      </c>
      <c r="J188" s="89"/>
      <c r="K188" s="89"/>
      <c r="L188" s="89"/>
      <c r="M188" s="89"/>
      <c r="N188" s="89"/>
      <c r="O188" s="89"/>
      <c r="P188" s="89"/>
      <c r="Q188" s="89"/>
      <c r="R188" s="89"/>
      <c r="S188" s="89"/>
      <c r="T188" s="89"/>
      <c r="U188" s="89"/>
      <c r="V188" s="89"/>
      <c r="W188" s="89"/>
      <c r="X188" s="89"/>
      <c r="Y188" s="89"/>
      <c r="AA188" t="s">
        <v>682</v>
      </c>
    </row>
    <row r="189" spans="2:27" x14ac:dyDescent="0.25">
      <c r="B189" s="206"/>
      <c r="J189" s="89"/>
      <c r="K189" s="89"/>
      <c r="L189" s="89"/>
      <c r="M189" s="89"/>
      <c r="N189" s="89"/>
      <c r="O189" s="89"/>
      <c r="P189" s="89"/>
      <c r="Q189" s="89"/>
      <c r="R189" s="89"/>
      <c r="S189" s="89"/>
      <c r="T189" s="89"/>
      <c r="U189" s="89"/>
      <c r="V189" s="89"/>
      <c r="W189" s="89"/>
      <c r="X189" s="89"/>
      <c r="Y189" s="89"/>
    </row>
    <row r="190" spans="2:27" x14ac:dyDescent="0.25">
      <c r="C190" s="31" t="str">
        <f ca="1">INDEX('Version control'!$H$34:$H$57,MATCH($A$1,'Version control'!$F$34:$F$57,0),1)&amp;"-D: Reactive power charges, all customer categories"</f>
        <v>Section 112-D: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25">
      <c r="C191" s="32"/>
      <c r="D191"/>
      <c r="E191" s="32"/>
      <c r="I191" t="s">
        <v>154</v>
      </c>
      <c r="J191" s="89"/>
      <c r="K191" s="89"/>
      <c r="L191" s="89"/>
      <c r="M191" s="89"/>
      <c r="N191" s="89"/>
      <c r="O191" s="89"/>
      <c r="P191" s="89"/>
      <c r="Q191" s="89"/>
      <c r="R191" s="89"/>
      <c r="S191" s="89"/>
      <c r="T191" s="89"/>
      <c r="U191" s="89"/>
      <c r="V191" s="89"/>
      <c r="W191" s="89"/>
      <c r="X191" s="89"/>
      <c r="Y191" s="89"/>
      <c r="AA191" t="s">
        <v>683</v>
      </c>
    </row>
    <row r="192" spans="2:27" x14ac:dyDescent="0.25">
      <c r="E192" s="32" t="s">
        <v>621</v>
      </c>
      <c r="J192" s="89"/>
      <c r="K192" s="89"/>
      <c r="L192" s="89"/>
      <c r="M192" s="89"/>
      <c r="N192" s="89"/>
      <c r="O192" s="89"/>
      <c r="P192" s="89"/>
      <c r="Q192" s="89"/>
      <c r="R192" s="89"/>
      <c r="S192" s="89"/>
      <c r="T192" s="89"/>
      <c r="U192" s="89"/>
      <c r="V192" s="89"/>
      <c r="W192" s="89"/>
      <c r="X192" s="89"/>
      <c r="Y192" s="89"/>
    </row>
    <row r="193" spans="4:27" x14ac:dyDescent="0.25">
      <c r="F193" s="23" t="s">
        <v>189</v>
      </c>
      <c r="G193" s="23" t="s">
        <v>272</v>
      </c>
      <c r="H193" s="270"/>
      <c r="I193" s="270"/>
      <c r="J193" s="288"/>
      <c r="K193" s="288"/>
      <c r="L193" s="288"/>
      <c r="M193" s="288"/>
      <c r="N193" s="288"/>
      <c r="O193" s="288"/>
      <c r="P193" s="288"/>
      <c r="Q193" s="288"/>
      <c r="R193" s="288"/>
      <c r="S193" s="288"/>
      <c r="T193" s="288"/>
      <c r="U193" s="288"/>
      <c r="V193" s="288"/>
      <c r="W193" s="288"/>
      <c r="X193" s="288"/>
      <c r="Y193" s="288"/>
      <c r="Z193" s="272"/>
      <c r="AA193" s="272"/>
    </row>
    <row r="194" spans="4:27" x14ac:dyDescent="0.25">
      <c r="F194" t="s">
        <v>191</v>
      </c>
      <c r="G194" t="s">
        <v>272</v>
      </c>
      <c r="H194" s="272"/>
      <c r="I194" s="272"/>
      <c r="J194" s="273"/>
      <c r="K194" s="273"/>
      <c r="L194" s="273"/>
      <c r="M194" s="273"/>
      <c r="N194" s="273"/>
      <c r="O194" s="273"/>
      <c r="P194" s="273"/>
      <c r="Q194" s="273"/>
      <c r="R194" s="273"/>
      <c r="S194" s="273"/>
      <c r="T194" s="273"/>
      <c r="U194" s="273"/>
      <c r="V194" s="273"/>
      <c r="W194" s="273"/>
      <c r="X194" s="273"/>
      <c r="Y194" s="273"/>
      <c r="Z194" s="272"/>
      <c r="AA194" s="272"/>
    </row>
    <row r="195" spans="4:27" x14ac:dyDescent="0.25">
      <c r="F195" t="s">
        <v>192</v>
      </c>
      <c r="G195" t="s">
        <v>272</v>
      </c>
      <c r="H195" s="272"/>
      <c r="I195" s="272"/>
      <c r="J195" s="290">
        <f t="shared" ref="J195:K195" si="72">ABS(J125 + J160)*(1-J82)*PowerFactor*$H23</f>
        <v>0</v>
      </c>
      <c r="K195" s="290">
        <f t="shared" si="72"/>
        <v>0</v>
      </c>
      <c r="L195" s="290">
        <f t="shared" ref="L195:M195" si="73">ABS(L125 + L160)*(1-L82)*PowerFactor*$H23</f>
        <v>0</v>
      </c>
      <c r="M195" s="290">
        <f t="shared" si="73"/>
        <v>0</v>
      </c>
      <c r="N195" s="290">
        <f t="shared" ref="N195:P195" si="74">ABS(N125 + N160)*(1-N82)*PowerFactor*$H23</f>
        <v>0</v>
      </c>
      <c r="O195" s="290">
        <f t="shared" si="74"/>
        <v>0</v>
      </c>
      <c r="P195" s="290">
        <f t="shared" si="74"/>
        <v>0</v>
      </c>
      <c r="Q195" s="290">
        <f t="shared" ref="Q195:S195" si="75">ABS(Q125 + Q160)*(1-Q82)*PowerFactor*$H23</f>
        <v>0</v>
      </c>
      <c r="R195" s="290">
        <f t="shared" si="75"/>
        <v>0</v>
      </c>
      <c r="S195" s="290">
        <f t="shared" si="75"/>
        <v>0</v>
      </c>
      <c r="T195" s="290">
        <f t="shared" ref="T195:U195" si="76">ABS(T125 + T160)*(1-T82)*PowerFactor*$H23</f>
        <v>0</v>
      </c>
      <c r="U195" s="290">
        <f t="shared" si="76"/>
        <v>0</v>
      </c>
      <c r="V195" s="290">
        <f t="shared" ref="V195:W195" si="77">ABS(V125 + V160)*(1-V82)*PowerFactor*$H23</f>
        <v>0</v>
      </c>
      <c r="W195" s="290">
        <f t="shared" si="77"/>
        <v>0</v>
      </c>
      <c r="X195" s="290">
        <f t="shared" ref="X195:Y195" si="78">ABS(X125 + X160)*(1-X82)*PowerFactor*$H23</f>
        <v>0</v>
      </c>
      <c r="Y195" s="290">
        <f t="shared" si="78"/>
        <v>0</v>
      </c>
      <c r="Z195" s="272"/>
      <c r="AA195" s="272"/>
    </row>
    <row r="196" spans="4:27" x14ac:dyDescent="0.25">
      <c r="F196" t="s">
        <v>193</v>
      </c>
      <c r="G196" t="s">
        <v>272</v>
      </c>
      <c r="H196" s="272"/>
      <c r="I196" s="272"/>
      <c r="J196" s="290">
        <f t="shared" ref="J196:K196" si="79">ABS(J126 + J161)*(1-J83)*PowerFactor*$H24</f>
        <v>0</v>
      </c>
      <c r="K196" s="290">
        <f t="shared" si="79"/>
        <v>0</v>
      </c>
      <c r="L196" s="290">
        <f t="shared" ref="L196:M196" si="80">ABS(L126 + L161)*(1-L83)*PowerFactor*$H24</f>
        <v>0</v>
      </c>
      <c r="M196" s="290">
        <f t="shared" si="80"/>
        <v>0</v>
      </c>
      <c r="N196" s="290">
        <f t="shared" ref="N196:P196" si="81">ABS(N126 + N161)*(1-N83)*PowerFactor*$H24</f>
        <v>0</v>
      </c>
      <c r="O196" s="290">
        <f t="shared" si="81"/>
        <v>0</v>
      </c>
      <c r="P196" s="290">
        <f t="shared" si="81"/>
        <v>0</v>
      </c>
      <c r="Q196" s="290">
        <f t="shared" ref="Q196:S196" si="82">ABS(Q126 + Q161)*(1-Q83)*PowerFactor*$H24</f>
        <v>0</v>
      </c>
      <c r="R196" s="290">
        <f t="shared" si="82"/>
        <v>0</v>
      </c>
      <c r="S196" s="290">
        <f t="shared" si="82"/>
        <v>0</v>
      </c>
      <c r="T196" s="290">
        <f t="shared" ref="T196:U196" si="83">ABS(T126 + T161)*(1-T83)*PowerFactor*$H24</f>
        <v>0</v>
      </c>
      <c r="U196" s="290">
        <f t="shared" si="83"/>
        <v>0</v>
      </c>
      <c r="V196" s="290">
        <f t="shared" ref="V196:W196" si="84">ABS(V126 + V161)*(1-V83)*PowerFactor*$H24</f>
        <v>0</v>
      </c>
      <c r="W196" s="290">
        <f t="shared" si="84"/>
        <v>0</v>
      </c>
      <c r="X196" s="290">
        <f t="shared" ref="X196:Y196" si="85">ABS(X126 + X161)*(1-X83)*PowerFactor*$H24</f>
        <v>0</v>
      </c>
      <c r="Y196" s="290">
        <f t="shared" si="85"/>
        <v>0</v>
      </c>
      <c r="Z196" s="272"/>
      <c r="AA196" s="272"/>
    </row>
    <row r="197" spans="4:27" x14ac:dyDescent="0.25">
      <c r="F197" t="s">
        <v>194</v>
      </c>
      <c r="G197" t="s">
        <v>272</v>
      </c>
      <c r="H197" s="272"/>
      <c r="I197" s="272"/>
      <c r="J197" s="290">
        <f t="shared" ref="J197:K197" si="86">ABS(J127 + J162)*(1-J84)*PowerFactor*$H25</f>
        <v>3.4459180230654356E-2</v>
      </c>
      <c r="K197" s="290">
        <f t="shared" si="86"/>
        <v>0</v>
      </c>
      <c r="L197" s="290">
        <f t="shared" ref="L197:M197" si="87">ABS(L127 + L162)*(1-L84)*PowerFactor*$H25</f>
        <v>3.0449563938285108E-2</v>
      </c>
      <c r="M197" s="290">
        <f t="shared" si="87"/>
        <v>0</v>
      </c>
      <c r="N197" s="290">
        <f t="shared" ref="N197:P197" si="88">ABS(N127 + N162)*(1-N84)*PowerFactor*$H25</f>
        <v>2.5458245350388396E-2</v>
      </c>
      <c r="O197" s="290">
        <f t="shared" si="88"/>
        <v>1.9591520289283262E-2</v>
      </c>
      <c r="P197" s="290">
        <f t="shared" si="88"/>
        <v>1.6075147165666288E-2</v>
      </c>
      <c r="Q197" s="290">
        <f t="shared" ref="Q197:S197" si="89">ABS(Q127 + Q162)*(1-Q84)*PowerFactor*$H25</f>
        <v>3.1389400196299627E-2</v>
      </c>
      <c r="R197" s="290">
        <f t="shared" si="89"/>
        <v>1.797977517253874E-2</v>
      </c>
      <c r="S197" s="290">
        <f t="shared" si="89"/>
        <v>1.7420477500199927E-2</v>
      </c>
      <c r="T197" s="290">
        <f t="shared" ref="T197:U197" si="90">ABS(T127 + T162)*(1-T84)*PowerFactor*$H25</f>
        <v>1.797977517253874E-2</v>
      </c>
      <c r="U197" s="290">
        <f t="shared" si="90"/>
        <v>1.797977517253874E-2</v>
      </c>
      <c r="V197" s="290">
        <f t="shared" ref="V197:W197" si="91">ABS(V127 + V162)*(1-V84)*PowerFactor*$H25</f>
        <v>1.7420477500199927E-2</v>
      </c>
      <c r="W197" s="290">
        <f t="shared" si="91"/>
        <v>1.7420477500199927E-2</v>
      </c>
      <c r="X197" s="290">
        <f t="shared" ref="X197:Y197" si="92">ABS(X127 + X162)*(1-X84)*PowerFactor*$H25</f>
        <v>1.6951837750960104E-2</v>
      </c>
      <c r="Y197" s="290">
        <f t="shared" si="92"/>
        <v>1.6951837750960104E-2</v>
      </c>
      <c r="Z197" s="272"/>
      <c r="AA197" s="272"/>
    </row>
    <row r="198" spans="4:27" x14ac:dyDescent="0.25">
      <c r="F198" t="s">
        <v>195</v>
      </c>
      <c r="G198" t="s">
        <v>272</v>
      </c>
      <c r="H198" s="272"/>
      <c r="I198" s="272"/>
      <c r="J198" s="290">
        <f t="shared" ref="J198:K198" si="93">ABS(J128 + J163)*(1-J85)*PowerFactor*$H26</f>
        <v>3.1249838797333136E-2</v>
      </c>
      <c r="K198" s="290">
        <f t="shared" si="93"/>
        <v>0</v>
      </c>
      <c r="L198" s="290">
        <f t="shared" ref="L198:M198" si="94">ABS(L128 + L163)*(1-L85)*PowerFactor*$H26</f>
        <v>2.7613656452396367E-2</v>
      </c>
      <c r="M198" s="290">
        <f t="shared" si="94"/>
        <v>0</v>
      </c>
      <c r="N198" s="290">
        <f t="shared" ref="N198:P198" si="95">ABS(N128 + N163)*(1-N85)*PowerFactor*$H26</f>
        <v>2.3087202247338144E-2</v>
      </c>
      <c r="O198" s="290">
        <f t="shared" si="95"/>
        <v>1.7766872187230717E-2</v>
      </c>
      <c r="P198" s="290">
        <f t="shared" si="95"/>
        <v>0</v>
      </c>
      <c r="Q198" s="290">
        <f t="shared" ref="Q198:S198" si="96">ABS(Q128 + Q163)*(1-Q85)*PowerFactor*$H26</f>
        <v>2.846596145101371E-2</v>
      </c>
      <c r="R198" s="290">
        <f t="shared" si="96"/>
        <v>1.6305236282269469E-2</v>
      </c>
      <c r="S198" s="290">
        <f t="shared" si="96"/>
        <v>1.5798028566261085E-2</v>
      </c>
      <c r="T198" s="290">
        <f t="shared" ref="T198:U198" si="97">ABS(T128 + T163)*(1-T85)*PowerFactor*$H26</f>
        <v>1.6305236282269469E-2</v>
      </c>
      <c r="U198" s="290">
        <f t="shared" si="97"/>
        <v>1.6305236282269469E-2</v>
      </c>
      <c r="V198" s="290">
        <f t="shared" ref="V198:W198" si="98">ABS(V128 + V163)*(1-V85)*PowerFactor*$H26</f>
        <v>1.5798028566261085E-2</v>
      </c>
      <c r="W198" s="290">
        <f t="shared" si="98"/>
        <v>1.5798028566261085E-2</v>
      </c>
      <c r="X198" s="290">
        <f t="shared" ref="X198:Y198" si="99">ABS(X128 + X163)*(1-X85)*PowerFactor*$H26</f>
        <v>1.5402072970347784E-2</v>
      </c>
      <c r="Y198" s="290">
        <f t="shared" si="99"/>
        <v>1.5402072970347784E-2</v>
      </c>
      <c r="Z198" s="272"/>
      <c r="AA198" s="272"/>
    </row>
    <row r="199" spans="4:27" x14ac:dyDescent="0.25">
      <c r="F199" t="s">
        <v>196</v>
      </c>
      <c r="G199" t="s">
        <v>272</v>
      </c>
      <c r="H199" s="272"/>
      <c r="I199" s="272"/>
      <c r="J199" s="290">
        <f t="shared" ref="J199:K199" si="100">ABS(J129 + J164)*(1-J86)*PowerFactor*$H27</f>
        <v>0</v>
      </c>
      <c r="K199" s="290">
        <f t="shared" si="100"/>
        <v>0</v>
      </c>
      <c r="L199" s="290">
        <f t="shared" ref="L199:M199" si="101">ABS(L129 + L164)*(1-L86)*PowerFactor*$H27</f>
        <v>0</v>
      </c>
      <c r="M199" s="290">
        <f t="shared" si="101"/>
        <v>0</v>
      </c>
      <c r="N199" s="290">
        <f t="shared" ref="N199:P199" si="102">ABS(N129 + N164)*(1-N86)*PowerFactor*$H27</f>
        <v>0</v>
      </c>
      <c r="O199" s="290">
        <f t="shared" si="102"/>
        <v>0</v>
      </c>
      <c r="P199" s="290">
        <f t="shared" si="102"/>
        <v>0</v>
      </c>
      <c r="Q199" s="290">
        <f t="shared" ref="Q199:S199" si="103">ABS(Q129 + Q164)*(1-Q86)*PowerFactor*$H27</f>
        <v>0</v>
      </c>
      <c r="R199" s="290">
        <f t="shared" si="103"/>
        <v>0</v>
      </c>
      <c r="S199" s="290">
        <f t="shared" si="103"/>
        <v>0</v>
      </c>
      <c r="T199" s="290">
        <f t="shared" ref="T199:U199" si="104">ABS(T129 + T164)*(1-T86)*PowerFactor*$H27</f>
        <v>0</v>
      </c>
      <c r="U199" s="290">
        <f t="shared" si="104"/>
        <v>0</v>
      </c>
      <c r="V199" s="290">
        <f t="shared" ref="V199:W199" si="105">ABS(V129 + V164)*(1-V86)*PowerFactor*$H27</f>
        <v>0</v>
      </c>
      <c r="W199" s="290">
        <f t="shared" si="105"/>
        <v>0</v>
      </c>
      <c r="X199" s="290">
        <f t="shared" ref="X199:Y199" si="106">ABS(X129 + X164)*(1-X86)*PowerFactor*$H27</f>
        <v>0</v>
      </c>
      <c r="Y199" s="290">
        <f t="shared" si="106"/>
        <v>0</v>
      </c>
      <c r="Z199" s="272"/>
      <c r="AA199" s="272"/>
    </row>
    <row r="200" spans="4:27" x14ac:dyDescent="0.25">
      <c r="F200" t="s">
        <v>197</v>
      </c>
      <c r="G200" t="s">
        <v>272</v>
      </c>
      <c r="H200" s="272"/>
      <c r="I200" s="272"/>
      <c r="J200" s="290">
        <f t="shared" ref="J200:K200" si="107">ABS(J130 + J165)*(1-J87)*PowerFactor*$H28</f>
        <v>7.4532343691216099E-2</v>
      </c>
      <c r="K200" s="290">
        <f t="shared" si="107"/>
        <v>0</v>
      </c>
      <c r="L200" s="290">
        <f t="shared" ref="L200:M200" si="108">ABS(L130 + L165)*(1-L87)*PowerFactor*$H28</f>
        <v>6.5859876802206493E-2</v>
      </c>
      <c r="M200" s="290">
        <f t="shared" si="108"/>
        <v>0</v>
      </c>
      <c r="N200" s="290">
        <f t="shared" ref="N200:P200" si="109">ABS(N130 + N165)*(1-N87)*PowerFactor*$H28</f>
        <v>4.4051255532596777E-2</v>
      </c>
      <c r="O200" s="290">
        <f t="shared" si="109"/>
        <v>0</v>
      </c>
      <c r="P200" s="290">
        <f t="shared" si="109"/>
        <v>0</v>
      </c>
      <c r="Q200" s="290">
        <f t="shared" ref="Q200:S200" si="110">ABS(Q130 + Q165)*(1-Q87)*PowerFactor*$H28</f>
        <v>6.7892664539086309E-2</v>
      </c>
      <c r="R200" s="290">
        <f t="shared" si="110"/>
        <v>3.8888759792908296E-2</v>
      </c>
      <c r="S200" s="290">
        <f t="shared" si="110"/>
        <v>3.767904539861839E-2</v>
      </c>
      <c r="T200" s="290">
        <f t="shared" ref="T200:U200" si="111">ABS(T130 + T165)*(1-T87)*PowerFactor*$H28</f>
        <v>3.8888759792908296E-2</v>
      </c>
      <c r="U200" s="290">
        <f t="shared" si="111"/>
        <v>3.8888759792908296E-2</v>
      </c>
      <c r="V200" s="290">
        <f t="shared" ref="V200:W200" si="112">ABS(V130 + V165)*(1-V87)*PowerFactor*$H28</f>
        <v>3.767904539861839E-2</v>
      </c>
      <c r="W200" s="290">
        <f t="shared" si="112"/>
        <v>3.767904539861839E-2</v>
      </c>
      <c r="X200" s="290">
        <f t="shared" ref="X200:Y200" si="113">ABS(X130 + X165)*(1-X87)*PowerFactor*$H28</f>
        <v>3.9185759512321609E-2</v>
      </c>
      <c r="Y200" s="290">
        <f t="shared" si="113"/>
        <v>3.9185759512321609E-2</v>
      </c>
      <c r="Z200" s="272"/>
      <c r="AA200" s="272"/>
    </row>
    <row r="201" spans="4:27" x14ac:dyDescent="0.25">
      <c r="F201" t="s">
        <v>198</v>
      </c>
      <c r="G201" t="s">
        <v>272</v>
      </c>
      <c r="H201" s="272"/>
      <c r="I201" s="272"/>
      <c r="J201" s="290">
        <f t="shared" ref="J201:K201" si="114">ABS(J131 + J166)*(1-J88)*PowerFactor*$H29</f>
        <v>6.8261441380284829E-3</v>
      </c>
      <c r="K201" s="290">
        <f t="shared" si="114"/>
        <v>0</v>
      </c>
      <c r="L201" s="290">
        <f t="shared" ref="L201:M201" si="115">ABS(L131 + L166)*(1-L88)*PowerFactor*$H29</f>
        <v>6.031864687191411E-3</v>
      </c>
      <c r="M201" s="290">
        <f t="shared" si="115"/>
        <v>0</v>
      </c>
      <c r="N201" s="290">
        <f t="shared" ref="N201:P201" si="116">ABS(N131 + N166)*(1-N88)*PowerFactor*$H29</f>
        <v>0</v>
      </c>
      <c r="O201" s="290">
        <f t="shared" si="116"/>
        <v>0</v>
      </c>
      <c r="P201" s="290">
        <f t="shared" si="116"/>
        <v>0</v>
      </c>
      <c r="Q201" s="290">
        <f t="shared" ref="Q201:S201" si="117">ABS(Q131 + Q166)*(1-Q88)*PowerFactor*$H29</f>
        <v>6.2180402642193688E-3</v>
      </c>
      <c r="R201" s="290">
        <f t="shared" si="117"/>
        <v>3.5616789510249111E-3</v>
      </c>
      <c r="S201" s="290">
        <f t="shared" si="117"/>
        <v>3.4508856442226729E-3</v>
      </c>
      <c r="T201" s="290">
        <f t="shared" ref="T201:U201" si="118">ABS(T131 + T166)*(1-T88)*PowerFactor*$H29</f>
        <v>3.5616789510249111E-3</v>
      </c>
      <c r="U201" s="290">
        <f t="shared" si="118"/>
        <v>3.5616789510249111E-3</v>
      </c>
      <c r="V201" s="290">
        <f t="shared" ref="V201:W201" si="119">ABS(V131 + V166)*(1-V88)*PowerFactor*$H29</f>
        <v>3.4508856442226729E-3</v>
      </c>
      <c r="W201" s="290">
        <f t="shared" si="119"/>
        <v>3.4508856442226729E-3</v>
      </c>
      <c r="X201" s="290">
        <f t="shared" ref="X201:Y201" si="120">ABS(X131 + X166)*(1-X88)*PowerFactor*$H29</f>
        <v>0</v>
      </c>
      <c r="Y201" s="290">
        <f t="shared" si="120"/>
        <v>0</v>
      </c>
      <c r="Z201" s="272"/>
      <c r="AA201" s="272"/>
    </row>
    <row r="202" spans="4:27" x14ac:dyDescent="0.25">
      <c r="F202" t="s">
        <v>199</v>
      </c>
      <c r="G202" t="s">
        <v>272</v>
      </c>
      <c r="H202" s="272"/>
      <c r="I202" s="272"/>
      <c r="J202" s="290">
        <f t="shared" ref="J202:K202" si="121">ABS(J132 + J167)*(1-J89)*PowerFactor*$H30</f>
        <v>0</v>
      </c>
      <c r="K202" s="290">
        <f t="shared" si="121"/>
        <v>0</v>
      </c>
      <c r="L202" s="290">
        <f t="shared" ref="L202:M202" si="122">ABS(L132 + L167)*(1-L89)*PowerFactor*$H30</f>
        <v>0</v>
      </c>
      <c r="M202" s="290">
        <f t="shared" si="122"/>
        <v>0</v>
      </c>
      <c r="N202" s="290">
        <f t="shared" ref="N202:P202" si="123">ABS(N132 + N167)*(1-N89)*PowerFactor*$H30</f>
        <v>0</v>
      </c>
      <c r="O202" s="290">
        <f t="shared" si="123"/>
        <v>0</v>
      </c>
      <c r="P202" s="290">
        <f t="shared" si="123"/>
        <v>0</v>
      </c>
      <c r="Q202" s="290">
        <f t="shared" ref="Q202:S202" si="124">ABS(Q132 + Q167)*(1-Q89)*PowerFactor*$H30</f>
        <v>2.2581353160655575E-3</v>
      </c>
      <c r="R202" s="290">
        <f t="shared" si="124"/>
        <v>1.2934546387673468E-3</v>
      </c>
      <c r="S202" s="290">
        <f t="shared" si="124"/>
        <v>0</v>
      </c>
      <c r="T202" s="290">
        <f t="shared" ref="T202:U202" si="125">ABS(T132 + T167)*(1-T89)*PowerFactor*$H30</f>
        <v>1.2934546387673468E-3</v>
      </c>
      <c r="U202" s="290">
        <f t="shared" si="125"/>
        <v>1.2934546387673468E-3</v>
      </c>
      <c r="V202" s="290">
        <f t="shared" ref="V202:W202" si="126">ABS(V132 + V167)*(1-V89)*PowerFactor*$H30</f>
        <v>0</v>
      </c>
      <c r="W202" s="290">
        <f t="shared" si="126"/>
        <v>0</v>
      </c>
      <c r="X202" s="290">
        <f t="shared" ref="X202:Y202" si="127">ABS(X132 + X167)*(1-X89)*PowerFactor*$H30</f>
        <v>0</v>
      </c>
      <c r="Y202" s="290">
        <f t="shared" si="127"/>
        <v>0</v>
      </c>
      <c r="Z202" s="272"/>
      <c r="AA202" s="272"/>
    </row>
    <row r="203" spans="4:27" x14ac:dyDescent="0.25">
      <c r="F203" t="s">
        <v>376</v>
      </c>
      <c r="G203" t="s">
        <v>272</v>
      </c>
      <c r="H203" s="272"/>
      <c r="I203" s="272"/>
      <c r="J203" s="273"/>
      <c r="K203" s="273"/>
      <c r="L203" s="273"/>
      <c r="M203" s="273"/>
      <c r="N203" s="273"/>
      <c r="O203" s="273"/>
      <c r="P203" s="273"/>
      <c r="Q203" s="273"/>
      <c r="R203" s="273"/>
      <c r="S203" s="273"/>
      <c r="T203" s="273"/>
      <c r="U203" s="273"/>
      <c r="V203" s="273"/>
      <c r="W203" s="273"/>
      <c r="X203" s="273"/>
      <c r="Y203" s="273"/>
      <c r="Z203" s="272"/>
      <c r="AA203" s="272"/>
    </row>
    <row r="204" spans="4:27" x14ac:dyDescent="0.25">
      <c r="F204" s="37" t="s">
        <v>377</v>
      </c>
      <c r="G204" s="37" t="s">
        <v>272</v>
      </c>
      <c r="H204" s="276"/>
      <c r="I204" s="276"/>
      <c r="J204" s="277"/>
      <c r="K204" s="277"/>
      <c r="L204" s="277"/>
      <c r="M204" s="277"/>
      <c r="N204" s="277"/>
      <c r="O204" s="277"/>
      <c r="P204" s="277"/>
      <c r="Q204" s="277"/>
      <c r="R204" s="277"/>
      <c r="S204" s="277"/>
      <c r="T204" s="277"/>
      <c r="U204" s="277"/>
      <c r="V204" s="277"/>
      <c r="W204" s="277"/>
      <c r="X204" s="277"/>
      <c r="Y204" s="277"/>
      <c r="Z204" s="272"/>
      <c r="AA204" s="272"/>
    </row>
    <row r="205" spans="4:27" x14ac:dyDescent="0.25">
      <c r="D205"/>
      <c r="J205" s="89"/>
      <c r="K205" s="89"/>
      <c r="L205" s="89"/>
      <c r="M205" s="89"/>
      <c r="N205" s="89"/>
      <c r="O205" s="89"/>
      <c r="P205" s="89"/>
      <c r="Q205" s="89"/>
      <c r="R205" s="89"/>
      <c r="S205" s="89"/>
      <c r="T205" s="89"/>
      <c r="U205" s="89"/>
      <c r="V205" s="89"/>
      <c r="W205" s="89"/>
      <c r="X205" s="89"/>
      <c r="Y205" s="89"/>
    </row>
    <row r="206" spans="4:27" x14ac:dyDescent="0.25">
      <c r="E206" s="32" t="s">
        <v>622</v>
      </c>
      <c r="J206" s="89"/>
      <c r="K206" s="89"/>
      <c r="L206" s="89"/>
      <c r="M206" s="89"/>
      <c r="N206" s="89"/>
      <c r="O206" s="89"/>
      <c r="P206" s="89"/>
      <c r="Q206" s="89"/>
      <c r="R206" s="89"/>
      <c r="S206" s="89"/>
      <c r="T206" s="89"/>
      <c r="U206" s="89"/>
      <c r="V206" s="89"/>
      <c r="W206" s="89"/>
      <c r="X206" s="89"/>
      <c r="Y206" s="89"/>
    </row>
    <row r="207" spans="4:27" x14ac:dyDescent="0.25">
      <c r="F207" s="23" t="s">
        <v>189</v>
      </c>
      <c r="G207" s="23" t="s">
        <v>272</v>
      </c>
      <c r="H207" s="270"/>
      <c r="I207" s="270"/>
      <c r="J207" s="289">
        <f t="shared" ref="J207:K207" si="128">ABS(J137 + J172)*(1-J81)*PowerFactor*$H22</f>
        <v>0.1017937477615985</v>
      </c>
      <c r="K207" s="289">
        <f t="shared" si="128"/>
        <v>0</v>
      </c>
      <c r="L207" s="289">
        <f t="shared" ref="L207:M207" si="129">ABS(L137 + L172)*(1-L81)*PowerFactor*$H22</f>
        <v>8.9949186551661633E-2</v>
      </c>
      <c r="M207" s="289">
        <f t="shared" si="129"/>
        <v>0</v>
      </c>
      <c r="N207" s="289">
        <f t="shared" ref="N207:P207" si="130">ABS(N137 + N172)*(1-N81)*PowerFactor*$H22</f>
        <v>7.5204638888796735E-2</v>
      </c>
      <c r="O207" s="289">
        <f t="shared" si="130"/>
        <v>5.7874106732795853E-2</v>
      </c>
      <c r="P207" s="289">
        <f t="shared" si="130"/>
        <v>5.9674418596573978E-2</v>
      </c>
      <c r="Q207" s="289">
        <f t="shared" ref="Q207:S207" si="131">ABS(Q137 + Q172)*(1-Q81)*PowerFactor*$H22</f>
        <v>9.2725499114675827E-2</v>
      </c>
      <c r="R207" s="289">
        <f t="shared" si="131"/>
        <v>5.3112949480310506E-2</v>
      </c>
      <c r="S207" s="289">
        <f t="shared" si="131"/>
        <v>5.1460762579733581E-2</v>
      </c>
      <c r="T207" s="289">
        <f t="shared" ref="T207:U207" si="132">ABS(T137 + T172)*(1-T81)*PowerFactor*$H22</f>
        <v>5.3112949480310506E-2</v>
      </c>
      <c r="U207" s="289">
        <f t="shared" si="132"/>
        <v>5.3112949480310506E-2</v>
      </c>
      <c r="V207" s="289">
        <f t="shared" ref="V207:W207" si="133">ABS(V137 + V172)*(1-V81)*PowerFactor*$H22</f>
        <v>5.1460762579733581E-2</v>
      </c>
      <c r="W207" s="289">
        <f t="shared" si="133"/>
        <v>5.1460762579733581E-2</v>
      </c>
      <c r="X207" s="289">
        <f t="shared" ref="X207:Y207" si="134">ABS(X137 + X172)*(1-X81)*PowerFactor*$H22</f>
        <v>5.0343106735225698E-2</v>
      </c>
      <c r="Y207" s="289">
        <f t="shared" si="134"/>
        <v>5.0343106735225698E-2</v>
      </c>
      <c r="Z207" s="272"/>
      <c r="AA207" s="272"/>
    </row>
    <row r="208" spans="4:27" x14ac:dyDescent="0.25">
      <c r="F208" t="s">
        <v>191</v>
      </c>
      <c r="G208" t="s">
        <v>272</v>
      </c>
      <c r="H208" s="272"/>
      <c r="I208" s="272"/>
      <c r="J208" s="290">
        <f t="shared" ref="J208:K208" si="135">ABS(J138 + J173)*(1-J81)*PowerFactor*$H22</f>
        <v>0</v>
      </c>
      <c r="K208" s="290">
        <f t="shared" si="135"/>
        <v>0</v>
      </c>
      <c r="L208" s="290">
        <f t="shared" ref="L208:M208" si="136">ABS(L138 + L173)*(1-L81)*PowerFactor*$H22</f>
        <v>0</v>
      </c>
      <c r="M208" s="290">
        <f t="shared" si="136"/>
        <v>0</v>
      </c>
      <c r="N208" s="290">
        <f t="shared" ref="N208:P208" si="137">ABS(N138 + N173)*(1-N81)*PowerFactor*$H22</f>
        <v>0</v>
      </c>
      <c r="O208" s="290">
        <f t="shared" si="137"/>
        <v>0</v>
      </c>
      <c r="P208" s="290">
        <f t="shared" si="137"/>
        <v>0</v>
      </c>
      <c r="Q208" s="290">
        <f t="shared" ref="Q208:S208" si="138">ABS(Q138 + Q173)*(1-Q81)*PowerFactor*$H22</f>
        <v>0</v>
      </c>
      <c r="R208" s="290">
        <f t="shared" si="138"/>
        <v>0</v>
      </c>
      <c r="S208" s="290">
        <f t="shared" si="138"/>
        <v>0</v>
      </c>
      <c r="T208" s="290">
        <f t="shared" ref="T208:U208" si="139">ABS(T138 + T173)*(1-T81)*PowerFactor*$H22</f>
        <v>0</v>
      </c>
      <c r="U208" s="290">
        <f t="shared" si="139"/>
        <v>0</v>
      </c>
      <c r="V208" s="290">
        <f t="shared" ref="V208:W208" si="140">ABS(V138 + V173)*(1-V81)*PowerFactor*$H22</f>
        <v>0</v>
      </c>
      <c r="W208" s="290">
        <f t="shared" si="140"/>
        <v>0</v>
      </c>
      <c r="X208" s="290">
        <f t="shared" ref="X208:Y208" si="141">ABS(X138 + X173)*(1-X81)*PowerFactor*$H22</f>
        <v>0</v>
      </c>
      <c r="Y208" s="290">
        <f t="shared" si="141"/>
        <v>0</v>
      </c>
      <c r="Z208" s="272"/>
      <c r="AA208" s="272"/>
    </row>
    <row r="209" spans="3:27" x14ac:dyDescent="0.25">
      <c r="F209" t="s">
        <v>192</v>
      </c>
      <c r="G209" t="s">
        <v>272</v>
      </c>
      <c r="H209" s="272"/>
      <c r="I209" s="272"/>
      <c r="J209" s="290">
        <f t="shared" ref="J209:K209" si="142">ABS(J139 + J174)*(1-J82)*PowerFactor*$H23</f>
        <v>0</v>
      </c>
      <c r="K209" s="290">
        <f t="shared" si="142"/>
        <v>0</v>
      </c>
      <c r="L209" s="290">
        <f t="shared" ref="L209:M209" si="143">ABS(L139 + L174)*(1-L82)*PowerFactor*$H23</f>
        <v>0</v>
      </c>
      <c r="M209" s="290">
        <f t="shared" si="143"/>
        <v>0</v>
      </c>
      <c r="N209" s="290">
        <f t="shared" ref="N209:P209" si="144">ABS(N139 + N174)*(1-N82)*PowerFactor*$H23</f>
        <v>0</v>
      </c>
      <c r="O209" s="290">
        <f t="shared" si="144"/>
        <v>0</v>
      </c>
      <c r="P209" s="290">
        <f t="shared" si="144"/>
        <v>0</v>
      </c>
      <c r="Q209" s="290">
        <f t="shared" ref="Q209:S209" si="145">ABS(Q139 + Q174)*(1-Q82)*PowerFactor*$H23</f>
        <v>0</v>
      </c>
      <c r="R209" s="290">
        <f t="shared" si="145"/>
        <v>0</v>
      </c>
      <c r="S209" s="290">
        <f t="shared" si="145"/>
        <v>0</v>
      </c>
      <c r="T209" s="290">
        <f t="shared" ref="T209:U209" si="146">ABS(T139 + T174)*(1-T82)*PowerFactor*$H23</f>
        <v>0</v>
      </c>
      <c r="U209" s="290">
        <f t="shared" si="146"/>
        <v>0</v>
      </c>
      <c r="V209" s="290">
        <f t="shared" ref="V209:W209" si="147">ABS(V139 + V174)*(1-V82)*PowerFactor*$H23</f>
        <v>0</v>
      </c>
      <c r="W209" s="290">
        <f t="shared" si="147"/>
        <v>0</v>
      </c>
      <c r="X209" s="290">
        <f t="shared" ref="X209:Y209" si="148">ABS(X139 + X174)*(1-X82)*PowerFactor*$H23</f>
        <v>0</v>
      </c>
      <c r="Y209" s="290">
        <f t="shared" si="148"/>
        <v>0</v>
      </c>
      <c r="Z209" s="272"/>
      <c r="AA209" s="272"/>
    </row>
    <row r="210" spans="3:27" x14ac:dyDescent="0.25">
      <c r="F210" t="s">
        <v>193</v>
      </c>
      <c r="G210" t="s">
        <v>272</v>
      </c>
      <c r="H210" s="272"/>
      <c r="I210" s="272"/>
      <c r="J210" s="290">
        <f t="shared" ref="J210:K210" si="149">ABS(J140 + J175)*(1-J83)*PowerFactor*$H24</f>
        <v>0</v>
      </c>
      <c r="K210" s="290">
        <f t="shared" si="149"/>
        <v>0</v>
      </c>
      <c r="L210" s="290">
        <f t="shared" ref="L210:M210" si="150">ABS(L140 + L175)*(1-L83)*PowerFactor*$H24</f>
        <v>0</v>
      </c>
      <c r="M210" s="290">
        <f t="shared" si="150"/>
        <v>0</v>
      </c>
      <c r="N210" s="290">
        <f t="shared" ref="N210:P210" si="151">ABS(N140 + N175)*(1-N83)*PowerFactor*$H24</f>
        <v>0</v>
      </c>
      <c r="O210" s="290">
        <f t="shared" si="151"/>
        <v>0</v>
      </c>
      <c r="P210" s="290">
        <f t="shared" si="151"/>
        <v>0</v>
      </c>
      <c r="Q210" s="290">
        <f t="shared" ref="Q210:S210" si="152">ABS(Q140 + Q175)*(1-Q83)*PowerFactor*$H24</f>
        <v>0</v>
      </c>
      <c r="R210" s="290">
        <f t="shared" si="152"/>
        <v>0</v>
      </c>
      <c r="S210" s="290">
        <f t="shared" si="152"/>
        <v>0</v>
      </c>
      <c r="T210" s="290">
        <f t="shared" ref="T210:U210" si="153">ABS(T140 + T175)*(1-T83)*PowerFactor*$H24</f>
        <v>0</v>
      </c>
      <c r="U210" s="290">
        <f t="shared" si="153"/>
        <v>0</v>
      </c>
      <c r="V210" s="290">
        <f t="shared" ref="V210:W210" si="154">ABS(V140 + V175)*(1-V83)*PowerFactor*$H24</f>
        <v>0</v>
      </c>
      <c r="W210" s="290">
        <f t="shared" si="154"/>
        <v>0</v>
      </c>
      <c r="X210" s="290">
        <f t="shared" ref="X210:Y210" si="155">ABS(X140 + X175)*(1-X83)*PowerFactor*$H24</f>
        <v>0</v>
      </c>
      <c r="Y210" s="290">
        <f t="shared" si="155"/>
        <v>0</v>
      </c>
      <c r="Z210" s="272"/>
      <c r="AA210" s="272"/>
    </row>
    <row r="211" spans="3:27" x14ac:dyDescent="0.25">
      <c r="F211" t="s">
        <v>194</v>
      </c>
      <c r="G211" t="s">
        <v>272</v>
      </c>
      <c r="H211" s="272"/>
      <c r="I211" s="272"/>
      <c r="J211" s="290">
        <f t="shared" ref="J211:K211" si="156">ABS(J141 + J176)*(1-J84)*PowerFactor*$H25</f>
        <v>2.9171018579464296E-2</v>
      </c>
      <c r="K211" s="290">
        <f t="shared" si="156"/>
        <v>0</v>
      </c>
      <c r="L211" s="290">
        <f t="shared" ref="L211:M211" si="157">ABS(L141 + L176)*(1-L84)*PowerFactor*$H25</f>
        <v>2.5776724502288999E-2</v>
      </c>
      <c r="M211" s="290">
        <f t="shared" si="157"/>
        <v>0</v>
      </c>
      <c r="N211" s="290">
        <f t="shared" ref="N211:P211" si="158">ABS(N141 + N176)*(1-N84)*PowerFactor*$H25</f>
        <v>2.1551381755045257E-2</v>
      </c>
      <c r="O211" s="290">
        <f t="shared" si="158"/>
        <v>1.6584973830869959E-2</v>
      </c>
      <c r="P211" s="290">
        <f t="shared" si="158"/>
        <v>1.3680711138969105E-2</v>
      </c>
      <c r="Q211" s="290">
        <f t="shared" ref="Q211:S211" si="159">ABS(Q141 + Q176)*(1-Q84)*PowerFactor*$H25</f>
        <v>2.6572331964819621E-2</v>
      </c>
      <c r="R211" s="290">
        <f t="shared" si="159"/>
        <v>1.5220569732130242E-2</v>
      </c>
      <c r="S211" s="290">
        <f t="shared" si="159"/>
        <v>1.4747102787123443E-2</v>
      </c>
      <c r="T211" s="290">
        <f t="shared" ref="T211:U211" si="160">ABS(T141 + T176)*(1-T84)*PowerFactor*$H25</f>
        <v>1.5220569732130242E-2</v>
      </c>
      <c r="U211" s="290">
        <f t="shared" si="160"/>
        <v>1.5220569732130242E-2</v>
      </c>
      <c r="V211" s="290">
        <f t="shared" ref="V211:W211" si="161">ABS(V141 + V176)*(1-V84)*PowerFactor*$H25</f>
        <v>1.4747102787123443E-2</v>
      </c>
      <c r="W211" s="290">
        <f t="shared" si="161"/>
        <v>1.4747102787123443E-2</v>
      </c>
      <c r="X211" s="290">
        <f t="shared" ref="X211:Y211" si="162">ABS(X141 + X176)*(1-X84)*PowerFactor*$H25</f>
        <v>1.4426816324324732E-2</v>
      </c>
      <c r="Y211" s="290">
        <f t="shared" si="162"/>
        <v>1.4426816324324732E-2</v>
      </c>
      <c r="Z211" s="272"/>
      <c r="AA211" s="272"/>
    </row>
    <row r="212" spans="3:27" x14ac:dyDescent="0.25">
      <c r="F212" t="s">
        <v>195</v>
      </c>
      <c r="G212" t="s">
        <v>272</v>
      </c>
      <c r="H212" s="272"/>
      <c r="I212" s="272"/>
      <c r="J212" s="290">
        <f t="shared" ref="J212:K212" si="163">ABS(J142 + J177)*(1-J85)*PowerFactor*$H26</f>
        <v>2.6393829832752912E-2</v>
      </c>
      <c r="K212" s="290">
        <f t="shared" si="163"/>
        <v>0</v>
      </c>
      <c r="L212" s="290">
        <f t="shared" ref="L212:M212" si="164">ABS(L142 + L177)*(1-L85)*PowerFactor*$H26</f>
        <v>2.3322685092597901E-2</v>
      </c>
      <c r="M212" s="290">
        <f t="shared" si="164"/>
        <v>0</v>
      </c>
      <c r="N212" s="290">
        <f t="shared" ref="N212:P212" si="165">ABS(N142 + N177)*(1-N85)*PowerFactor*$H26</f>
        <v>1.9499610586234329E-2</v>
      </c>
      <c r="O212" s="290">
        <f t="shared" si="165"/>
        <v>1.5006023045791107E-2</v>
      </c>
      <c r="P212" s="290">
        <f t="shared" si="165"/>
        <v>0</v>
      </c>
      <c r="Q212" s="290">
        <f t="shared" ref="Q212:S212" si="166">ABS(Q142 + Q177)*(1-Q85)*PowerFactor*$H26</f>
        <v>2.40425477851706E-2</v>
      </c>
      <c r="R212" s="290">
        <f t="shared" si="166"/>
        <v>1.3771515258305134E-2</v>
      </c>
      <c r="S212" s="290">
        <f t="shared" si="166"/>
        <v>1.3343124115777804E-2</v>
      </c>
      <c r="T212" s="290">
        <f t="shared" ref="T212:U212" si="167">ABS(T142 + T177)*(1-T85)*PowerFactor*$H26</f>
        <v>1.3771515258305134E-2</v>
      </c>
      <c r="U212" s="290">
        <f t="shared" si="167"/>
        <v>1.3771515258305134E-2</v>
      </c>
      <c r="V212" s="290">
        <f t="shared" ref="V212:W212" si="168">ABS(V142 + V177)*(1-V85)*PowerFactor*$H26</f>
        <v>1.3343124115777804E-2</v>
      </c>
      <c r="W212" s="290">
        <f t="shared" si="168"/>
        <v>1.3343124115777804E-2</v>
      </c>
      <c r="X212" s="290">
        <f t="shared" ref="X212:Y212" si="169">ABS(X142 + X177)*(1-X85)*PowerFactor*$H26</f>
        <v>1.3053330107597549E-2</v>
      </c>
      <c r="Y212" s="290">
        <f t="shared" si="169"/>
        <v>1.3053330107597549E-2</v>
      </c>
      <c r="Z212" s="272"/>
      <c r="AA212" s="272"/>
    </row>
    <row r="213" spans="3:27" x14ac:dyDescent="0.25">
      <c r="F213" t="s">
        <v>196</v>
      </c>
      <c r="G213" t="s">
        <v>272</v>
      </c>
      <c r="H213" s="272"/>
      <c r="I213" s="272"/>
      <c r="J213" s="290">
        <f t="shared" ref="J213:K213" si="170">ABS(J143 + J178)*(1-J86)*PowerFactor*$H27</f>
        <v>0</v>
      </c>
      <c r="K213" s="290">
        <f t="shared" si="170"/>
        <v>0</v>
      </c>
      <c r="L213" s="290">
        <f t="shared" ref="L213:M213" si="171">ABS(L143 + L178)*(1-L86)*PowerFactor*$H27</f>
        <v>0</v>
      </c>
      <c r="M213" s="290">
        <f t="shared" si="171"/>
        <v>0</v>
      </c>
      <c r="N213" s="290">
        <f t="shared" ref="N213:P213" si="172">ABS(N143 + N178)*(1-N86)*PowerFactor*$H27</f>
        <v>0</v>
      </c>
      <c r="O213" s="290">
        <f t="shared" si="172"/>
        <v>0</v>
      </c>
      <c r="P213" s="290">
        <f t="shared" si="172"/>
        <v>0</v>
      </c>
      <c r="Q213" s="290">
        <f t="shared" ref="Q213:S213" si="173">ABS(Q143 + Q178)*(1-Q86)*PowerFactor*$H27</f>
        <v>0</v>
      </c>
      <c r="R213" s="290">
        <f t="shared" si="173"/>
        <v>0</v>
      </c>
      <c r="S213" s="290">
        <f t="shared" si="173"/>
        <v>0</v>
      </c>
      <c r="T213" s="290">
        <f t="shared" ref="T213:U213" si="174">ABS(T143 + T178)*(1-T86)*PowerFactor*$H27</f>
        <v>0</v>
      </c>
      <c r="U213" s="290">
        <f t="shared" si="174"/>
        <v>0</v>
      </c>
      <c r="V213" s="290">
        <f t="shared" ref="V213:W213" si="175">ABS(V143 + V178)*(1-V86)*PowerFactor*$H27</f>
        <v>0</v>
      </c>
      <c r="W213" s="290">
        <f t="shared" si="175"/>
        <v>0</v>
      </c>
      <c r="X213" s="290">
        <f t="shared" ref="X213:Y213" si="176">ABS(X143 + X178)*(1-X86)*PowerFactor*$H27</f>
        <v>0</v>
      </c>
      <c r="Y213" s="290">
        <f t="shared" si="176"/>
        <v>0</v>
      </c>
      <c r="Z213" s="272"/>
      <c r="AA213" s="272"/>
    </row>
    <row r="214" spans="3:27" x14ac:dyDescent="0.25">
      <c r="F214" t="s">
        <v>197</v>
      </c>
      <c r="G214" t="s">
        <v>272</v>
      </c>
      <c r="H214" s="272"/>
      <c r="I214" s="272"/>
      <c r="J214" s="290">
        <f t="shared" ref="J214:K214" si="177">ABS(J144 + J179)*(1-J87)*PowerFactor*$H28</f>
        <v>0.109066017313646</v>
      </c>
      <c r="K214" s="290">
        <f t="shared" si="177"/>
        <v>0</v>
      </c>
      <c r="L214" s="290">
        <f t="shared" ref="L214:M214" si="178">ABS(L144 + L179)*(1-L87)*PowerFactor*$H28</f>
        <v>9.6375266197762113E-2</v>
      </c>
      <c r="M214" s="290">
        <f t="shared" si="178"/>
        <v>0</v>
      </c>
      <c r="N214" s="290">
        <f t="shared" ref="N214:P214" si="179">ABS(N144 + N179)*(1-N87)*PowerFactor*$H28</f>
        <v>6.4461880046478015E-2</v>
      </c>
      <c r="O214" s="290">
        <f t="shared" si="179"/>
        <v>0</v>
      </c>
      <c r="P214" s="290">
        <f t="shared" si="179"/>
        <v>0</v>
      </c>
      <c r="Q214" s="290">
        <f t="shared" ref="Q214:S214" si="180">ABS(Q144 + Q179)*(1-Q87)*PowerFactor*$H28</f>
        <v>9.9349921918022638E-2</v>
      </c>
      <c r="R214" s="290">
        <f t="shared" si="180"/>
        <v>5.6907403401289074E-2</v>
      </c>
      <c r="S214" s="290">
        <f t="shared" si="180"/>
        <v>5.513718225248411E-2</v>
      </c>
      <c r="T214" s="290">
        <f t="shared" ref="T214:U214" si="181">ABS(T144 + T179)*(1-T87)*PowerFactor*$H28</f>
        <v>5.6907403401289074E-2</v>
      </c>
      <c r="U214" s="290">
        <f t="shared" si="181"/>
        <v>5.6907403401289074E-2</v>
      </c>
      <c r="V214" s="290">
        <f t="shared" ref="V214:W214" si="182">ABS(V144 + V179)*(1-V87)*PowerFactor*$H28</f>
        <v>5.513718225248411E-2</v>
      </c>
      <c r="W214" s="290">
        <f t="shared" si="182"/>
        <v>5.513718225248411E-2</v>
      </c>
      <c r="X214" s="290">
        <f t="shared" ref="X214:Y214" si="183">ABS(X144 + X179)*(1-X87)*PowerFactor*$H28</f>
        <v>5.3939679710645456E-2</v>
      </c>
      <c r="Y214" s="290">
        <f t="shared" si="183"/>
        <v>5.3939679710645456E-2</v>
      </c>
      <c r="Z214" s="272"/>
      <c r="AA214" s="272"/>
    </row>
    <row r="215" spans="3:27" x14ac:dyDescent="0.25">
      <c r="F215" t="s">
        <v>198</v>
      </c>
      <c r="G215" t="s">
        <v>272</v>
      </c>
      <c r="H215" s="272"/>
      <c r="I215" s="272"/>
      <c r="J215" s="290">
        <f t="shared" ref="J215:K215" si="184">ABS(J145 + J180)*(1-J88)*PowerFactor*$H29</f>
        <v>2.641050691578354E-2</v>
      </c>
      <c r="K215" s="290">
        <f t="shared" si="184"/>
        <v>0</v>
      </c>
      <c r="L215" s="290">
        <f t="shared" ref="L215:M215" si="185">ABS(L145 + L180)*(1-L88)*PowerFactor*$H29</f>
        <v>2.3337421656342203E-2</v>
      </c>
      <c r="M215" s="290">
        <f t="shared" si="185"/>
        <v>0</v>
      </c>
      <c r="N215" s="290">
        <f t="shared" ref="N215:P215" si="186">ABS(N145 + N180)*(1-N88)*PowerFactor*$H29</f>
        <v>0</v>
      </c>
      <c r="O215" s="290">
        <f t="shared" si="186"/>
        <v>0</v>
      </c>
      <c r="P215" s="290">
        <f t="shared" si="186"/>
        <v>0</v>
      </c>
      <c r="Q215" s="290">
        <f t="shared" ref="Q215:S215" si="187">ABS(Q145 + Q180)*(1-Q88)*PowerFactor*$H29</f>
        <v>2.405773919802057E-2</v>
      </c>
      <c r="R215" s="290">
        <f t="shared" si="187"/>
        <v>1.3780216864130272E-2</v>
      </c>
      <c r="S215" s="290">
        <f t="shared" si="187"/>
        <v>1.3351555040360437E-2</v>
      </c>
      <c r="T215" s="290">
        <f t="shared" ref="T215:U215" si="188">ABS(T145 + T180)*(1-T88)*PowerFactor*$H29</f>
        <v>1.3780216864130272E-2</v>
      </c>
      <c r="U215" s="290">
        <f t="shared" si="188"/>
        <v>1.3780216864130272E-2</v>
      </c>
      <c r="V215" s="290">
        <f t="shared" ref="V215:W215" si="189">ABS(V145 + V180)*(1-V88)*PowerFactor*$H29</f>
        <v>1.3351555040360437E-2</v>
      </c>
      <c r="W215" s="290">
        <f t="shared" si="189"/>
        <v>1.3351555040360437E-2</v>
      </c>
      <c r="X215" s="290">
        <f t="shared" ref="X215:Y215" si="190">ABS(X145 + X180)*(1-X88)*PowerFactor*$H29</f>
        <v>0</v>
      </c>
      <c r="Y215" s="290">
        <f t="shared" si="190"/>
        <v>0</v>
      </c>
      <c r="Z215" s="272"/>
      <c r="AA215" s="272"/>
    </row>
    <row r="216" spans="3:27" x14ac:dyDescent="0.25">
      <c r="F216" t="s">
        <v>199</v>
      </c>
      <c r="G216" t="s">
        <v>272</v>
      </c>
      <c r="H216" s="272"/>
      <c r="I216" s="272"/>
      <c r="J216" s="290">
        <f t="shared" ref="J216:K216" si="191">ABS(J146 + J181)*(1-J89)*PowerFactor*$H30</f>
        <v>0</v>
      </c>
      <c r="K216" s="290">
        <f t="shared" si="191"/>
        <v>0</v>
      </c>
      <c r="L216" s="290">
        <f t="shared" ref="L216:M216" si="192">ABS(L146 + L181)*(1-L89)*PowerFactor*$H30</f>
        <v>0</v>
      </c>
      <c r="M216" s="290">
        <f t="shared" si="192"/>
        <v>0</v>
      </c>
      <c r="N216" s="290">
        <f t="shared" ref="N216:P216" si="193">ABS(N146 + N181)*(1-N89)*PowerFactor*$H30</f>
        <v>0</v>
      </c>
      <c r="O216" s="290">
        <f t="shared" si="193"/>
        <v>0</v>
      </c>
      <c r="P216" s="290">
        <f t="shared" si="193"/>
        <v>0</v>
      </c>
      <c r="Q216" s="290">
        <f t="shared" ref="Q216:S216" si="194">ABS(Q146 + Q181)*(1-Q89)*PowerFactor*$H30</f>
        <v>5.7108477426133841E-2</v>
      </c>
      <c r="R216" s="290">
        <f t="shared" si="194"/>
        <v>3.2711602583885467E-2</v>
      </c>
      <c r="S216" s="290">
        <f t="shared" si="194"/>
        <v>0</v>
      </c>
      <c r="T216" s="290">
        <f t="shared" ref="T216:U216" si="195">ABS(T146 + T181)*(1-T89)*PowerFactor*$H30</f>
        <v>3.2711602583885467E-2</v>
      </c>
      <c r="U216" s="290">
        <f t="shared" si="195"/>
        <v>3.2711602583885467E-2</v>
      </c>
      <c r="V216" s="290">
        <f t="shared" ref="V216:W216" si="196">ABS(V146 + V181)*(1-V89)*PowerFactor*$H30</f>
        <v>0</v>
      </c>
      <c r="W216" s="290">
        <f t="shared" si="196"/>
        <v>0</v>
      </c>
      <c r="X216" s="290">
        <f t="shared" ref="X216:Y216" si="197">ABS(X146 + X181)*(1-X89)*PowerFactor*$H30</f>
        <v>0</v>
      </c>
      <c r="Y216" s="290">
        <f t="shared" si="197"/>
        <v>0</v>
      </c>
      <c r="Z216" s="272"/>
      <c r="AA216" s="272"/>
    </row>
    <row r="217" spans="3:27" x14ac:dyDescent="0.25">
      <c r="F217" t="s">
        <v>376</v>
      </c>
      <c r="G217" t="s">
        <v>272</v>
      </c>
      <c r="H217" s="272"/>
      <c r="I217" s="272"/>
      <c r="J217" s="273"/>
      <c r="K217" s="273"/>
      <c r="L217" s="273"/>
      <c r="M217" s="273"/>
      <c r="N217" s="273"/>
      <c r="O217" s="273"/>
      <c r="P217" s="273"/>
      <c r="Q217" s="273"/>
      <c r="R217" s="273"/>
      <c r="S217" s="273"/>
      <c r="T217" s="273"/>
      <c r="U217" s="273"/>
      <c r="V217" s="273"/>
      <c r="W217" s="273"/>
      <c r="X217" s="273"/>
      <c r="Y217" s="273"/>
      <c r="Z217" s="272"/>
      <c r="AA217" s="272"/>
    </row>
    <row r="218" spans="3:27" x14ac:dyDescent="0.25">
      <c r="F218" s="37" t="s">
        <v>377</v>
      </c>
      <c r="G218" s="37" t="s">
        <v>272</v>
      </c>
      <c r="H218" s="276"/>
      <c r="I218" s="276"/>
      <c r="J218" s="277"/>
      <c r="K218" s="277"/>
      <c r="L218" s="277"/>
      <c r="M218" s="277"/>
      <c r="N218" s="277"/>
      <c r="O218" s="277"/>
      <c r="P218" s="277"/>
      <c r="Q218" s="277"/>
      <c r="R218" s="277"/>
      <c r="S218" s="277"/>
      <c r="T218" s="277"/>
      <c r="U218" s="277"/>
      <c r="V218" s="277"/>
      <c r="W218" s="277"/>
      <c r="X218" s="277"/>
      <c r="Y218" s="277"/>
      <c r="Z218" s="272"/>
      <c r="AA218" s="272"/>
    </row>
    <row r="219" spans="3:27" x14ac:dyDescent="0.25">
      <c r="J219" s="89"/>
      <c r="K219" s="89"/>
      <c r="L219" s="89"/>
      <c r="M219" s="89"/>
      <c r="N219" s="89"/>
      <c r="O219" s="89"/>
      <c r="P219" s="89"/>
      <c r="Q219" s="89"/>
      <c r="R219" s="89"/>
      <c r="S219" s="89"/>
      <c r="T219" s="89"/>
      <c r="U219" s="89"/>
      <c r="V219" s="89"/>
      <c r="W219" s="89"/>
      <c r="X219" s="89"/>
      <c r="Y219" s="89"/>
    </row>
    <row r="220" spans="3:27" x14ac:dyDescent="0.25">
      <c r="C220" s="31" t="str">
        <f ca="1">INDEX('Version control'!$H$34:$H$57,MATCH($A$1,'Version control'!$F$34:$F$57,0),1)&amp;"-E: Reactive power charges for applicable customers"</f>
        <v>Section 112-E: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25">
      <c r="D221" s="32"/>
      <c r="E221" s="32"/>
      <c r="J221" s="89"/>
      <c r="K221" s="89"/>
      <c r="L221" s="89"/>
      <c r="M221" s="89"/>
      <c r="N221" s="89"/>
      <c r="O221" s="89"/>
      <c r="P221" s="89"/>
      <c r="Q221" s="89"/>
      <c r="R221" s="89"/>
      <c r="S221" s="89"/>
      <c r="T221" s="89"/>
      <c r="U221" s="89"/>
      <c r="V221" s="89"/>
      <c r="W221" s="89"/>
      <c r="X221" s="89"/>
      <c r="Y221" s="89"/>
    </row>
    <row r="222" spans="3:27" x14ac:dyDescent="0.25">
      <c r="D222"/>
      <c r="E222" s="32" t="s">
        <v>621</v>
      </c>
      <c r="J222" s="89"/>
      <c r="K222" s="89"/>
      <c r="L222" s="89"/>
      <c r="M222" s="89"/>
      <c r="N222" s="89"/>
      <c r="O222" s="89"/>
      <c r="P222" s="89"/>
      <c r="Q222" s="89"/>
      <c r="R222" s="89"/>
      <c r="S222" s="89"/>
      <c r="T222" s="89"/>
      <c r="U222" s="89"/>
      <c r="V222" s="89"/>
      <c r="W222" s="89"/>
      <c r="X222" s="89"/>
      <c r="Y222" s="89"/>
    </row>
    <row r="223" spans="3:27" x14ac:dyDescent="0.25">
      <c r="D223"/>
      <c r="F223" s="23" t="s">
        <v>189</v>
      </c>
      <c r="G223" s="23" t="s">
        <v>272</v>
      </c>
      <c r="H223" s="270"/>
      <c r="I223" s="270"/>
      <c r="J223" s="288"/>
      <c r="K223" s="288"/>
      <c r="L223" s="288"/>
      <c r="M223" s="288"/>
      <c r="N223" s="288"/>
      <c r="O223" s="288"/>
      <c r="P223" s="288"/>
      <c r="Q223" s="288"/>
      <c r="R223" s="288"/>
      <c r="S223" s="288"/>
      <c r="T223" s="288"/>
      <c r="U223" s="288"/>
      <c r="V223" s="288"/>
      <c r="W223" s="288"/>
      <c r="X223" s="288"/>
      <c r="Y223" s="288"/>
      <c r="Z223" s="272"/>
      <c r="AA223" s="272"/>
    </row>
    <row r="224" spans="3:27" x14ac:dyDescent="0.25">
      <c r="D224"/>
      <c r="F224" t="s">
        <v>191</v>
      </c>
      <c r="G224" t="s">
        <v>272</v>
      </c>
      <c r="H224" s="272"/>
      <c r="I224" s="272"/>
      <c r="J224" s="273"/>
      <c r="K224" s="273"/>
      <c r="L224" s="273"/>
      <c r="M224" s="273"/>
      <c r="N224" s="273"/>
      <c r="O224" s="273"/>
      <c r="P224" s="273"/>
      <c r="Q224" s="273"/>
      <c r="R224" s="273"/>
      <c r="S224" s="273"/>
      <c r="T224" s="273"/>
      <c r="U224" s="273"/>
      <c r="V224" s="273"/>
      <c r="W224" s="273"/>
      <c r="X224" s="273"/>
      <c r="Y224" s="273"/>
      <c r="Z224" s="272"/>
      <c r="AA224" s="272"/>
    </row>
    <row r="225" spans="5:27" customFormat="1" x14ac:dyDescent="0.25">
      <c r="E225" s="2"/>
      <c r="F225" t="s">
        <v>192</v>
      </c>
      <c r="G225" t="s">
        <v>272</v>
      </c>
      <c r="H225" s="272"/>
      <c r="I225" s="272"/>
      <c r="J225" s="290">
        <f t="shared" ref="J225:K225" si="198">J$78 * J195</f>
        <v>0</v>
      </c>
      <c r="K225" s="290">
        <f t="shared" si="198"/>
        <v>0</v>
      </c>
      <c r="L225" s="290">
        <f t="shared" ref="L225:M225" si="199">L$78 * L195</f>
        <v>0</v>
      </c>
      <c r="M225" s="290">
        <f t="shared" si="199"/>
        <v>0</v>
      </c>
      <c r="N225" s="290">
        <f t="shared" ref="N225:P225" si="200">N$78 * N195</f>
        <v>0</v>
      </c>
      <c r="O225" s="290">
        <f t="shared" si="200"/>
        <v>0</v>
      </c>
      <c r="P225" s="290">
        <f t="shared" si="200"/>
        <v>0</v>
      </c>
      <c r="Q225" s="290">
        <f t="shared" ref="Q225:S225" si="201">Q$78 * Q195</f>
        <v>0</v>
      </c>
      <c r="R225" s="290">
        <f t="shared" si="201"/>
        <v>0</v>
      </c>
      <c r="S225" s="290">
        <f t="shared" si="201"/>
        <v>0</v>
      </c>
      <c r="T225" s="290">
        <f t="shared" ref="T225:U225" si="202">T$78 * T195</f>
        <v>0</v>
      </c>
      <c r="U225" s="290">
        <f t="shared" si="202"/>
        <v>0</v>
      </c>
      <c r="V225" s="290">
        <f t="shared" ref="V225:W225" si="203">V$78 * V195</f>
        <v>0</v>
      </c>
      <c r="W225" s="290">
        <f t="shared" si="203"/>
        <v>0</v>
      </c>
      <c r="X225" s="290">
        <f t="shared" ref="X225:Y225" si="204">X$78 * X195</f>
        <v>0</v>
      </c>
      <c r="Y225" s="290">
        <f t="shared" si="204"/>
        <v>0</v>
      </c>
      <c r="Z225" s="272"/>
      <c r="AA225" s="272"/>
    </row>
    <row r="226" spans="5:27" customFormat="1" x14ac:dyDescent="0.25">
      <c r="E226" s="2"/>
      <c r="F226" t="s">
        <v>193</v>
      </c>
      <c r="G226" t="s">
        <v>272</v>
      </c>
      <c r="H226" s="272"/>
      <c r="I226" s="272"/>
      <c r="J226" s="290">
        <f t="shared" ref="J226:K226" si="205">J$78 * J196</f>
        <v>0</v>
      </c>
      <c r="K226" s="290">
        <f t="shared" si="205"/>
        <v>0</v>
      </c>
      <c r="L226" s="290">
        <f t="shared" ref="L226:M226" si="206">L$78 * L196</f>
        <v>0</v>
      </c>
      <c r="M226" s="290">
        <f t="shared" si="206"/>
        <v>0</v>
      </c>
      <c r="N226" s="290">
        <f t="shared" ref="N226:P226" si="207">N$78 * N196</f>
        <v>0</v>
      </c>
      <c r="O226" s="290">
        <f t="shared" si="207"/>
        <v>0</v>
      </c>
      <c r="P226" s="290">
        <f t="shared" si="207"/>
        <v>0</v>
      </c>
      <c r="Q226" s="290">
        <f t="shared" ref="Q226:S226" si="208">Q$78 * Q196</f>
        <v>0</v>
      </c>
      <c r="R226" s="290">
        <f t="shared" si="208"/>
        <v>0</v>
      </c>
      <c r="S226" s="290">
        <f t="shared" si="208"/>
        <v>0</v>
      </c>
      <c r="T226" s="290">
        <f t="shared" ref="T226:U226" si="209">T$78 * T196</f>
        <v>0</v>
      </c>
      <c r="U226" s="290">
        <f t="shared" si="209"/>
        <v>0</v>
      </c>
      <c r="V226" s="290">
        <f t="shared" ref="V226:W226" si="210">V$78 * V196</f>
        <v>0</v>
      </c>
      <c r="W226" s="290">
        <f t="shared" si="210"/>
        <v>0</v>
      </c>
      <c r="X226" s="290">
        <f t="shared" ref="X226:Y226" si="211">X$78 * X196</f>
        <v>0</v>
      </c>
      <c r="Y226" s="290">
        <f t="shared" si="211"/>
        <v>0</v>
      </c>
      <c r="Z226" s="272"/>
      <c r="AA226" s="272"/>
    </row>
    <row r="227" spans="5:27" customFormat="1" x14ac:dyDescent="0.25">
      <c r="E227" s="2"/>
      <c r="F227" t="s">
        <v>194</v>
      </c>
      <c r="G227" t="s">
        <v>272</v>
      </c>
      <c r="H227" s="272"/>
      <c r="I227" s="272"/>
      <c r="J227" s="290">
        <f t="shared" ref="J227:K227" si="212">J$78 * J197</f>
        <v>0</v>
      </c>
      <c r="K227" s="290">
        <f t="shared" si="212"/>
        <v>0</v>
      </c>
      <c r="L227" s="290">
        <f t="shared" ref="L227:M227" si="213">L$78 * L197</f>
        <v>0</v>
      </c>
      <c r="M227" s="290">
        <f t="shared" si="213"/>
        <v>0</v>
      </c>
      <c r="N227" s="290">
        <f t="shared" ref="N227:P227" si="214">N$78 * N197</f>
        <v>2.5458245350388396E-2</v>
      </c>
      <c r="O227" s="290">
        <f t="shared" si="214"/>
        <v>1.9591520289283262E-2</v>
      </c>
      <c r="P227" s="290">
        <f t="shared" si="214"/>
        <v>1.6075147165666288E-2</v>
      </c>
      <c r="Q227" s="290">
        <f t="shared" ref="Q227:S227" si="215">Q$78 * Q197</f>
        <v>0</v>
      </c>
      <c r="R227" s="290">
        <f t="shared" si="215"/>
        <v>0</v>
      </c>
      <c r="S227" s="290">
        <f t="shared" si="215"/>
        <v>0</v>
      </c>
      <c r="T227" s="290">
        <f t="shared" ref="T227:U227" si="216">T$78 * T197</f>
        <v>1.797977517253874E-2</v>
      </c>
      <c r="U227" s="290">
        <f t="shared" si="216"/>
        <v>0</v>
      </c>
      <c r="V227" s="290">
        <f t="shared" ref="V227:W227" si="217">V$78 * V197</f>
        <v>1.7420477500199927E-2</v>
      </c>
      <c r="W227" s="290">
        <f t="shared" si="217"/>
        <v>0</v>
      </c>
      <c r="X227" s="290">
        <f t="shared" ref="X227:Y227" si="218">X$78 * X197</f>
        <v>1.6951837750960104E-2</v>
      </c>
      <c r="Y227" s="290">
        <f t="shared" si="218"/>
        <v>0</v>
      </c>
      <c r="Z227" s="272"/>
      <c r="AA227" s="272"/>
    </row>
    <row r="228" spans="5:27" customFormat="1" x14ac:dyDescent="0.25">
      <c r="E228" s="2"/>
      <c r="F228" t="s">
        <v>195</v>
      </c>
      <c r="G228" t="s">
        <v>272</v>
      </c>
      <c r="H228" s="272"/>
      <c r="I228" s="272"/>
      <c r="J228" s="290">
        <f t="shared" ref="J228:K228" si="219">J$78 * J198</f>
        <v>0</v>
      </c>
      <c r="K228" s="290">
        <f t="shared" si="219"/>
        <v>0</v>
      </c>
      <c r="L228" s="290">
        <f t="shared" ref="L228:M228" si="220">L$78 * L198</f>
        <v>0</v>
      </c>
      <c r="M228" s="290">
        <f t="shared" si="220"/>
        <v>0</v>
      </c>
      <c r="N228" s="290">
        <f t="shared" ref="N228:P228" si="221">N$78 * N198</f>
        <v>2.3087202247338144E-2</v>
      </c>
      <c r="O228" s="290">
        <f t="shared" si="221"/>
        <v>1.7766872187230717E-2</v>
      </c>
      <c r="P228" s="290">
        <f t="shared" si="221"/>
        <v>0</v>
      </c>
      <c r="Q228" s="290">
        <f t="shared" ref="Q228:S228" si="222">Q$78 * Q198</f>
        <v>0</v>
      </c>
      <c r="R228" s="290">
        <f t="shared" si="222"/>
        <v>0</v>
      </c>
      <c r="S228" s="290">
        <f t="shared" si="222"/>
        <v>0</v>
      </c>
      <c r="T228" s="290">
        <f t="shared" ref="T228:U228" si="223">T$78 * T198</f>
        <v>1.6305236282269469E-2</v>
      </c>
      <c r="U228" s="290">
        <f t="shared" si="223"/>
        <v>0</v>
      </c>
      <c r="V228" s="290">
        <f t="shared" ref="V228:W228" si="224">V$78 * V198</f>
        <v>1.5798028566261085E-2</v>
      </c>
      <c r="W228" s="290">
        <f t="shared" si="224"/>
        <v>0</v>
      </c>
      <c r="X228" s="290">
        <f t="shared" ref="X228:Y228" si="225">X$78 * X198</f>
        <v>1.5402072970347784E-2</v>
      </c>
      <c r="Y228" s="290">
        <f t="shared" si="225"/>
        <v>0</v>
      </c>
      <c r="Z228" s="272"/>
      <c r="AA228" s="272"/>
    </row>
    <row r="229" spans="5:27" customFormat="1" x14ac:dyDescent="0.25">
      <c r="E229" s="2"/>
      <c r="F229" t="s">
        <v>196</v>
      </c>
      <c r="G229" t="s">
        <v>272</v>
      </c>
      <c r="H229" s="272"/>
      <c r="I229" s="272"/>
      <c r="J229" s="290">
        <f t="shared" ref="J229:K229" si="226">J$78 * J199</f>
        <v>0</v>
      </c>
      <c r="K229" s="290">
        <f t="shared" si="226"/>
        <v>0</v>
      </c>
      <c r="L229" s="290">
        <f t="shared" ref="L229:M229" si="227">L$78 * L199</f>
        <v>0</v>
      </c>
      <c r="M229" s="290">
        <f t="shared" si="227"/>
        <v>0</v>
      </c>
      <c r="N229" s="290">
        <f t="shared" ref="N229:P229" si="228">N$78 * N199</f>
        <v>0</v>
      </c>
      <c r="O229" s="290">
        <f t="shared" si="228"/>
        <v>0</v>
      </c>
      <c r="P229" s="290">
        <f t="shared" si="228"/>
        <v>0</v>
      </c>
      <c r="Q229" s="290">
        <f t="shared" ref="Q229:S229" si="229">Q$78 * Q199</f>
        <v>0</v>
      </c>
      <c r="R229" s="290">
        <f t="shared" si="229"/>
        <v>0</v>
      </c>
      <c r="S229" s="290">
        <f t="shared" si="229"/>
        <v>0</v>
      </c>
      <c r="T229" s="290">
        <f t="shared" ref="T229:U229" si="230">T$78 * T199</f>
        <v>0</v>
      </c>
      <c r="U229" s="290">
        <f t="shared" si="230"/>
        <v>0</v>
      </c>
      <c r="V229" s="290">
        <f t="shared" ref="V229:W229" si="231">V$78 * V199</f>
        <v>0</v>
      </c>
      <c r="W229" s="290">
        <f t="shared" si="231"/>
        <v>0</v>
      </c>
      <c r="X229" s="290">
        <f t="shared" ref="X229:Y229" si="232">X$78 * X199</f>
        <v>0</v>
      </c>
      <c r="Y229" s="290">
        <f t="shared" si="232"/>
        <v>0</v>
      </c>
      <c r="Z229" s="272"/>
      <c r="AA229" s="272"/>
    </row>
    <row r="230" spans="5:27" customFormat="1" x14ac:dyDescent="0.25">
      <c r="E230" s="2"/>
      <c r="F230" t="s">
        <v>197</v>
      </c>
      <c r="G230" t="s">
        <v>272</v>
      </c>
      <c r="H230" s="272"/>
      <c r="I230" s="272"/>
      <c r="J230" s="290">
        <f t="shared" ref="J230:K230" si="233">J$78 * J200</f>
        <v>0</v>
      </c>
      <c r="K230" s="290">
        <f t="shared" si="233"/>
        <v>0</v>
      </c>
      <c r="L230" s="290">
        <f t="shared" ref="L230:M230" si="234">L$78 * L200</f>
        <v>0</v>
      </c>
      <c r="M230" s="290">
        <f t="shared" si="234"/>
        <v>0</v>
      </c>
      <c r="N230" s="290">
        <f t="shared" ref="N230:P230" si="235">N$78 * N200</f>
        <v>4.4051255532596777E-2</v>
      </c>
      <c r="O230" s="290">
        <f t="shared" si="235"/>
        <v>0</v>
      </c>
      <c r="P230" s="290">
        <f t="shared" si="235"/>
        <v>0</v>
      </c>
      <c r="Q230" s="290">
        <f t="shared" ref="Q230:S230" si="236">Q$78 * Q200</f>
        <v>0</v>
      </c>
      <c r="R230" s="290">
        <f t="shared" si="236"/>
        <v>0</v>
      </c>
      <c r="S230" s="290">
        <f t="shared" si="236"/>
        <v>0</v>
      </c>
      <c r="T230" s="290">
        <f t="shared" ref="T230:U230" si="237">T$78 * T200</f>
        <v>3.8888759792908296E-2</v>
      </c>
      <c r="U230" s="290">
        <f t="shared" si="237"/>
        <v>0</v>
      </c>
      <c r="V230" s="290">
        <f t="shared" ref="V230:W230" si="238">V$78 * V200</f>
        <v>3.767904539861839E-2</v>
      </c>
      <c r="W230" s="290">
        <f t="shared" si="238"/>
        <v>0</v>
      </c>
      <c r="X230" s="290">
        <f t="shared" ref="X230:Y230" si="239">X$78 * X200</f>
        <v>3.9185759512321609E-2</v>
      </c>
      <c r="Y230" s="290">
        <f t="shared" si="239"/>
        <v>0</v>
      </c>
      <c r="Z230" s="272"/>
      <c r="AA230" s="272"/>
    </row>
    <row r="231" spans="5:27" customFormat="1" x14ac:dyDescent="0.25">
      <c r="E231" s="2"/>
      <c r="F231" t="s">
        <v>198</v>
      </c>
      <c r="G231" t="s">
        <v>272</v>
      </c>
      <c r="H231" s="272"/>
      <c r="I231" s="272"/>
      <c r="J231" s="290">
        <f t="shared" ref="J231:K231" si="240">J$78 * J201</f>
        <v>0</v>
      </c>
      <c r="K231" s="290">
        <f t="shared" si="240"/>
        <v>0</v>
      </c>
      <c r="L231" s="290">
        <f t="shared" ref="L231:M231" si="241">L$78 * L201</f>
        <v>0</v>
      </c>
      <c r="M231" s="290">
        <f t="shared" si="241"/>
        <v>0</v>
      </c>
      <c r="N231" s="290">
        <f t="shared" ref="N231:P231" si="242">N$78 * N201</f>
        <v>0</v>
      </c>
      <c r="O231" s="290">
        <f t="shared" si="242"/>
        <v>0</v>
      </c>
      <c r="P231" s="290">
        <f t="shared" si="242"/>
        <v>0</v>
      </c>
      <c r="Q231" s="290">
        <f t="shared" ref="Q231:S231" si="243">Q$78 * Q201</f>
        <v>0</v>
      </c>
      <c r="R231" s="290">
        <f t="shared" si="243"/>
        <v>0</v>
      </c>
      <c r="S231" s="290">
        <f t="shared" si="243"/>
        <v>0</v>
      </c>
      <c r="T231" s="290">
        <f t="shared" ref="T231:U231" si="244">T$78 * T201</f>
        <v>3.5616789510249111E-3</v>
      </c>
      <c r="U231" s="290">
        <f t="shared" si="244"/>
        <v>0</v>
      </c>
      <c r="V231" s="290">
        <f t="shared" ref="V231:W231" si="245">V$78 * V201</f>
        <v>3.4508856442226729E-3</v>
      </c>
      <c r="W231" s="290">
        <f t="shared" si="245"/>
        <v>0</v>
      </c>
      <c r="X231" s="290">
        <f t="shared" ref="X231:Y231" si="246">X$78 * X201</f>
        <v>0</v>
      </c>
      <c r="Y231" s="290">
        <f t="shared" si="246"/>
        <v>0</v>
      </c>
      <c r="Z231" s="272"/>
      <c r="AA231" s="272"/>
    </row>
    <row r="232" spans="5:27" customFormat="1" x14ac:dyDescent="0.25">
      <c r="E232" s="2"/>
      <c r="F232" t="s">
        <v>199</v>
      </c>
      <c r="G232" t="s">
        <v>272</v>
      </c>
      <c r="H232" s="272"/>
      <c r="I232" s="272"/>
      <c r="J232" s="290">
        <f t="shared" ref="J232:K232" si="247">J$78 * J202</f>
        <v>0</v>
      </c>
      <c r="K232" s="290">
        <f t="shared" si="247"/>
        <v>0</v>
      </c>
      <c r="L232" s="290">
        <f t="shared" ref="L232:M232" si="248">L$78 * L202</f>
        <v>0</v>
      </c>
      <c r="M232" s="290">
        <f t="shared" si="248"/>
        <v>0</v>
      </c>
      <c r="N232" s="290">
        <f t="shared" ref="N232:P232" si="249">N$78 * N202</f>
        <v>0</v>
      </c>
      <c r="O232" s="290">
        <f t="shared" si="249"/>
        <v>0</v>
      </c>
      <c r="P232" s="290">
        <f t="shared" si="249"/>
        <v>0</v>
      </c>
      <c r="Q232" s="290">
        <f t="shared" ref="Q232:S232" si="250">Q$78 * Q202</f>
        <v>0</v>
      </c>
      <c r="R232" s="290">
        <f t="shared" si="250"/>
        <v>0</v>
      </c>
      <c r="S232" s="290">
        <f t="shared" si="250"/>
        <v>0</v>
      </c>
      <c r="T232" s="290">
        <f t="shared" ref="T232:U232" si="251">T$78 * T202</f>
        <v>1.2934546387673468E-3</v>
      </c>
      <c r="U232" s="290">
        <f t="shared" si="251"/>
        <v>0</v>
      </c>
      <c r="V232" s="290">
        <f t="shared" ref="V232:W232" si="252">V$78 * V202</f>
        <v>0</v>
      </c>
      <c r="W232" s="290">
        <f t="shared" si="252"/>
        <v>0</v>
      </c>
      <c r="X232" s="290">
        <f t="shared" ref="X232:Y232" si="253">X$78 * X202</f>
        <v>0</v>
      </c>
      <c r="Y232" s="290">
        <f t="shared" si="253"/>
        <v>0</v>
      </c>
      <c r="Z232" s="272"/>
      <c r="AA232" s="272"/>
    </row>
    <row r="233" spans="5:27" customFormat="1" x14ac:dyDescent="0.25">
      <c r="E233" s="2"/>
      <c r="F233" t="s">
        <v>376</v>
      </c>
      <c r="G233" t="s">
        <v>272</v>
      </c>
      <c r="H233" s="272"/>
      <c r="I233" s="272"/>
      <c r="J233" s="273"/>
      <c r="K233" s="273"/>
      <c r="L233" s="273"/>
      <c r="M233" s="273"/>
      <c r="N233" s="273"/>
      <c r="O233" s="273"/>
      <c r="P233" s="273"/>
      <c r="Q233" s="273"/>
      <c r="R233" s="273"/>
      <c r="S233" s="273"/>
      <c r="T233" s="273"/>
      <c r="U233" s="273"/>
      <c r="V233" s="273"/>
      <c r="W233" s="273"/>
      <c r="X233" s="273"/>
      <c r="Y233" s="273"/>
      <c r="Z233" s="272"/>
      <c r="AA233" s="272"/>
    </row>
    <row r="234" spans="5:27" customFormat="1" x14ac:dyDescent="0.25">
      <c r="E234" s="2"/>
      <c r="F234" s="37" t="s">
        <v>377</v>
      </c>
      <c r="G234" s="37" t="s">
        <v>272</v>
      </c>
      <c r="H234" s="276"/>
      <c r="I234" s="276"/>
      <c r="J234" s="277"/>
      <c r="K234" s="277"/>
      <c r="L234" s="277"/>
      <c r="M234" s="277"/>
      <c r="N234" s="277"/>
      <c r="O234" s="277"/>
      <c r="P234" s="277"/>
      <c r="Q234" s="277"/>
      <c r="R234" s="277"/>
      <c r="S234" s="277"/>
      <c r="T234" s="277"/>
      <c r="U234" s="277"/>
      <c r="V234" s="277"/>
      <c r="W234" s="277"/>
      <c r="X234" s="277"/>
      <c r="Y234" s="277"/>
      <c r="Z234" s="272"/>
      <c r="AA234" s="272"/>
    </row>
    <row r="235" spans="5:27" customFormat="1" x14ac:dyDescent="0.25">
      <c r="E235" s="2"/>
      <c r="J235" s="89"/>
      <c r="K235" s="89"/>
      <c r="L235" s="89"/>
      <c r="M235" s="89"/>
      <c r="N235" s="89"/>
      <c r="O235" s="89"/>
      <c r="P235" s="89"/>
      <c r="Q235" s="89"/>
      <c r="R235" s="89"/>
      <c r="S235" s="89"/>
      <c r="T235" s="89"/>
      <c r="U235" s="89"/>
      <c r="V235" s="89"/>
      <c r="W235" s="89"/>
      <c r="X235" s="89"/>
      <c r="Y235" s="89"/>
    </row>
    <row r="236" spans="5:27" customFormat="1" x14ac:dyDescent="0.25">
      <c r="E236" s="32" t="s">
        <v>622</v>
      </c>
      <c r="J236" s="89"/>
      <c r="K236" s="89"/>
      <c r="L236" s="89"/>
      <c r="M236" s="89"/>
      <c r="N236" s="89"/>
      <c r="O236" s="89"/>
      <c r="P236" s="89"/>
      <c r="Q236" s="89"/>
      <c r="R236" s="89"/>
      <c r="S236" s="89"/>
      <c r="T236" s="89"/>
      <c r="U236" s="89"/>
      <c r="V236" s="89"/>
      <c r="W236" s="89"/>
      <c r="X236" s="89"/>
      <c r="Y236" s="89"/>
    </row>
    <row r="237" spans="5:27" customFormat="1" x14ac:dyDescent="0.25">
      <c r="E237" s="2"/>
      <c r="F237" s="23" t="s">
        <v>189</v>
      </c>
      <c r="G237" s="23" t="s">
        <v>272</v>
      </c>
      <c r="H237" s="270"/>
      <c r="I237" s="270"/>
      <c r="J237" s="289">
        <f t="shared" ref="J237:K237" si="254">J$78 * J207</f>
        <v>0</v>
      </c>
      <c r="K237" s="289">
        <f t="shared" si="254"/>
        <v>0</v>
      </c>
      <c r="L237" s="289">
        <f t="shared" ref="L237:M237" si="255">L$78 * L207</f>
        <v>0</v>
      </c>
      <c r="M237" s="289">
        <f t="shared" si="255"/>
        <v>0</v>
      </c>
      <c r="N237" s="289">
        <f t="shared" ref="N237:P237" si="256">N$78 * N207</f>
        <v>7.5204638888796735E-2</v>
      </c>
      <c r="O237" s="289">
        <f t="shared" si="256"/>
        <v>5.7874106732795853E-2</v>
      </c>
      <c r="P237" s="289">
        <f t="shared" si="256"/>
        <v>5.9674418596573978E-2</v>
      </c>
      <c r="Q237" s="289">
        <f t="shared" ref="Q237:S237" si="257">Q$78 * Q207</f>
        <v>0</v>
      </c>
      <c r="R237" s="289">
        <f t="shared" si="257"/>
        <v>0</v>
      </c>
      <c r="S237" s="289">
        <f t="shared" si="257"/>
        <v>0</v>
      </c>
      <c r="T237" s="289">
        <f t="shared" ref="T237:U237" si="258">T$78 * T207</f>
        <v>5.3112949480310506E-2</v>
      </c>
      <c r="U237" s="289">
        <f t="shared" si="258"/>
        <v>0</v>
      </c>
      <c r="V237" s="289">
        <f t="shared" ref="V237:W237" si="259">V$78 * V207</f>
        <v>5.1460762579733581E-2</v>
      </c>
      <c r="W237" s="289">
        <f t="shared" si="259"/>
        <v>0</v>
      </c>
      <c r="X237" s="289">
        <f t="shared" ref="X237:Y237" si="260">X$78 * X207</f>
        <v>5.0343106735225698E-2</v>
      </c>
      <c r="Y237" s="289">
        <f t="shared" si="260"/>
        <v>0</v>
      </c>
      <c r="Z237" s="272"/>
      <c r="AA237" s="272"/>
    </row>
    <row r="238" spans="5:27" customFormat="1" x14ac:dyDescent="0.25">
      <c r="E238" s="2"/>
      <c r="F238" t="s">
        <v>191</v>
      </c>
      <c r="G238" t="s">
        <v>272</v>
      </c>
      <c r="H238" s="272"/>
      <c r="I238" s="272"/>
      <c r="J238" s="290">
        <f t="shared" ref="J238:K238" si="261">J$78 * J208</f>
        <v>0</v>
      </c>
      <c r="K238" s="290">
        <f t="shared" si="261"/>
        <v>0</v>
      </c>
      <c r="L238" s="290">
        <f t="shared" ref="L238:M238" si="262">L$78 * L208</f>
        <v>0</v>
      </c>
      <c r="M238" s="290">
        <f t="shared" si="262"/>
        <v>0</v>
      </c>
      <c r="N238" s="290">
        <f t="shared" ref="N238:P238" si="263">N$78 * N208</f>
        <v>0</v>
      </c>
      <c r="O238" s="290">
        <f t="shared" si="263"/>
        <v>0</v>
      </c>
      <c r="P238" s="290">
        <f t="shared" si="263"/>
        <v>0</v>
      </c>
      <c r="Q238" s="290">
        <f t="shared" ref="Q238:S238" si="264">Q$78 * Q208</f>
        <v>0</v>
      </c>
      <c r="R238" s="290">
        <f t="shared" si="264"/>
        <v>0</v>
      </c>
      <c r="S238" s="290">
        <f t="shared" si="264"/>
        <v>0</v>
      </c>
      <c r="T238" s="290">
        <f t="shared" ref="T238:U238" si="265">T$78 * T208</f>
        <v>0</v>
      </c>
      <c r="U238" s="290">
        <f t="shared" si="265"/>
        <v>0</v>
      </c>
      <c r="V238" s="290">
        <f t="shared" ref="V238:W238" si="266">V$78 * V208</f>
        <v>0</v>
      </c>
      <c r="W238" s="290">
        <f t="shared" si="266"/>
        <v>0</v>
      </c>
      <c r="X238" s="290">
        <f t="shared" ref="X238:Y238" si="267">X$78 * X208</f>
        <v>0</v>
      </c>
      <c r="Y238" s="290">
        <f t="shared" si="267"/>
        <v>0</v>
      </c>
      <c r="Z238" s="272"/>
      <c r="AA238" s="272"/>
    </row>
    <row r="239" spans="5:27" customFormat="1" x14ac:dyDescent="0.25">
      <c r="E239" s="2"/>
      <c r="F239" t="s">
        <v>192</v>
      </c>
      <c r="G239" t="s">
        <v>272</v>
      </c>
      <c r="H239" s="272"/>
      <c r="I239" s="272"/>
      <c r="J239" s="290">
        <f t="shared" ref="J239:K239" si="268">J$78 * J209</f>
        <v>0</v>
      </c>
      <c r="K239" s="290">
        <f t="shared" si="268"/>
        <v>0</v>
      </c>
      <c r="L239" s="290">
        <f t="shared" ref="L239:M239" si="269">L$78 * L209</f>
        <v>0</v>
      </c>
      <c r="M239" s="290">
        <f t="shared" si="269"/>
        <v>0</v>
      </c>
      <c r="N239" s="290">
        <f t="shared" ref="N239:P239" si="270">N$78 * N209</f>
        <v>0</v>
      </c>
      <c r="O239" s="290">
        <f t="shared" si="270"/>
        <v>0</v>
      </c>
      <c r="P239" s="290">
        <f t="shared" si="270"/>
        <v>0</v>
      </c>
      <c r="Q239" s="290">
        <f t="shared" ref="Q239:S239" si="271">Q$78 * Q209</f>
        <v>0</v>
      </c>
      <c r="R239" s="290">
        <f t="shared" si="271"/>
        <v>0</v>
      </c>
      <c r="S239" s="290">
        <f t="shared" si="271"/>
        <v>0</v>
      </c>
      <c r="T239" s="290">
        <f t="shared" ref="T239:U239" si="272">T$78 * T209</f>
        <v>0</v>
      </c>
      <c r="U239" s="290">
        <f t="shared" si="272"/>
        <v>0</v>
      </c>
      <c r="V239" s="290">
        <f t="shared" ref="V239:W239" si="273">V$78 * V209</f>
        <v>0</v>
      </c>
      <c r="W239" s="290">
        <f t="shared" si="273"/>
        <v>0</v>
      </c>
      <c r="X239" s="290">
        <f t="shared" ref="X239:Y239" si="274">X$78 * X209</f>
        <v>0</v>
      </c>
      <c r="Y239" s="290">
        <f t="shared" si="274"/>
        <v>0</v>
      </c>
      <c r="Z239" s="272"/>
      <c r="AA239" s="272"/>
    </row>
    <row r="240" spans="5:27" customFormat="1" x14ac:dyDescent="0.25">
      <c r="E240" s="2"/>
      <c r="F240" t="s">
        <v>193</v>
      </c>
      <c r="G240" t="s">
        <v>272</v>
      </c>
      <c r="H240" s="272"/>
      <c r="I240" s="272"/>
      <c r="J240" s="290">
        <f t="shared" ref="J240:K240" si="275">J$78 * J210</f>
        <v>0</v>
      </c>
      <c r="K240" s="290">
        <f t="shared" si="275"/>
        <v>0</v>
      </c>
      <c r="L240" s="290">
        <f t="shared" ref="L240:M240" si="276">L$78 * L210</f>
        <v>0</v>
      </c>
      <c r="M240" s="290">
        <f t="shared" si="276"/>
        <v>0</v>
      </c>
      <c r="N240" s="290">
        <f t="shared" ref="N240:P240" si="277">N$78 * N210</f>
        <v>0</v>
      </c>
      <c r="O240" s="290">
        <f t="shared" si="277"/>
        <v>0</v>
      </c>
      <c r="P240" s="290">
        <f t="shared" si="277"/>
        <v>0</v>
      </c>
      <c r="Q240" s="290">
        <f t="shared" ref="Q240:S240" si="278">Q$78 * Q210</f>
        <v>0</v>
      </c>
      <c r="R240" s="290">
        <f t="shared" si="278"/>
        <v>0</v>
      </c>
      <c r="S240" s="290">
        <f t="shared" si="278"/>
        <v>0</v>
      </c>
      <c r="T240" s="290">
        <f t="shared" ref="T240:U240" si="279">T$78 * T210</f>
        <v>0</v>
      </c>
      <c r="U240" s="290">
        <f t="shared" si="279"/>
        <v>0</v>
      </c>
      <c r="V240" s="290">
        <f t="shared" ref="V240:W240" si="280">V$78 * V210</f>
        <v>0</v>
      </c>
      <c r="W240" s="290">
        <f t="shared" si="280"/>
        <v>0</v>
      </c>
      <c r="X240" s="290">
        <f t="shared" ref="X240:Y240" si="281">X$78 * X210</f>
        <v>0</v>
      </c>
      <c r="Y240" s="290">
        <f t="shared" si="281"/>
        <v>0</v>
      </c>
      <c r="Z240" s="272"/>
      <c r="AA240" s="272"/>
    </row>
    <row r="241" spans="2:27" x14ac:dyDescent="0.25">
      <c r="D241"/>
      <c r="F241" t="s">
        <v>194</v>
      </c>
      <c r="G241" t="s">
        <v>272</v>
      </c>
      <c r="H241" s="272"/>
      <c r="I241" s="272"/>
      <c r="J241" s="290">
        <f t="shared" ref="J241:K241" si="282">J$78 * J211</f>
        <v>0</v>
      </c>
      <c r="K241" s="290">
        <f t="shared" si="282"/>
        <v>0</v>
      </c>
      <c r="L241" s="290">
        <f t="shared" ref="L241:M241" si="283">L$78 * L211</f>
        <v>0</v>
      </c>
      <c r="M241" s="290">
        <f t="shared" si="283"/>
        <v>0</v>
      </c>
      <c r="N241" s="290">
        <f t="shared" ref="N241:P241" si="284">N$78 * N211</f>
        <v>2.1551381755045257E-2</v>
      </c>
      <c r="O241" s="290">
        <f t="shared" si="284"/>
        <v>1.6584973830869959E-2</v>
      </c>
      <c r="P241" s="290">
        <f t="shared" si="284"/>
        <v>1.3680711138969105E-2</v>
      </c>
      <c r="Q241" s="290">
        <f t="shared" ref="Q241:S241" si="285">Q$78 * Q211</f>
        <v>0</v>
      </c>
      <c r="R241" s="290">
        <f t="shared" si="285"/>
        <v>0</v>
      </c>
      <c r="S241" s="290">
        <f t="shared" si="285"/>
        <v>0</v>
      </c>
      <c r="T241" s="290">
        <f t="shared" ref="T241:U241" si="286">T$78 * T211</f>
        <v>1.5220569732130242E-2</v>
      </c>
      <c r="U241" s="290">
        <f t="shared" si="286"/>
        <v>0</v>
      </c>
      <c r="V241" s="290">
        <f t="shared" ref="V241:W241" si="287">V$78 * V211</f>
        <v>1.4747102787123443E-2</v>
      </c>
      <c r="W241" s="290">
        <f t="shared" si="287"/>
        <v>0</v>
      </c>
      <c r="X241" s="290">
        <f t="shared" ref="X241:Y241" si="288">X$78 * X211</f>
        <v>1.4426816324324732E-2</v>
      </c>
      <c r="Y241" s="290">
        <f t="shared" si="288"/>
        <v>0</v>
      </c>
      <c r="Z241" s="272"/>
      <c r="AA241" s="272"/>
    </row>
    <row r="242" spans="2:27" x14ac:dyDescent="0.25">
      <c r="D242"/>
      <c r="F242" t="s">
        <v>195</v>
      </c>
      <c r="G242" t="s">
        <v>272</v>
      </c>
      <c r="H242" s="272"/>
      <c r="I242" s="272"/>
      <c r="J242" s="290">
        <f t="shared" ref="J242:K242" si="289">J$78 * J212</f>
        <v>0</v>
      </c>
      <c r="K242" s="290">
        <f t="shared" si="289"/>
        <v>0</v>
      </c>
      <c r="L242" s="290">
        <f t="shared" ref="L242:M242" si="290">L$78 * L212</f>
        <v>0</v>
      </c>
      <c r="M242" s="290">
        <f t="shared" si="290"/>
        <v>0</v>
      </c>
      <c r="N242" s="290">
        <f t="shared" ref="N242:P242" si="291">N$78 * N212</f>
        <v>1.9499610586234329E-2</v>
      </c>
      <c r="O242" s="290">
        <f t="shared" si="291"/>
        <v>1.5006023045791107E-2</v>
      </c>
      <c r="P242" s="290">
        <f t="shared" si="291"/>
        <v>0</v>
      </c>
      <c r="Q242" s="290">
        <f t="shared" ref="Q242:S242" si="292">Q$78 * Q212</f>
        <v>0</v>
      </c>
      <c r="R242" s="290">
        <f t="shared" si="292"/>
        <v>0</v>
      </c>
      <c r="S242" s="290">
        <f t="shared" si="292"/>
        <v>0</v>
      </c>
      <c r="T242" s="290">
        <f t="shared" ref="T242:U242" si="293">T$78 * T212</f>
        <v>1.3771515258305134E-2</v>
      </c>
      <c r="U242" s="290">
        <f t="shared" si="293"/>
        <v>0</v>
      </c>
      <c r="V242" s="290">
        <f t="shared" ref="V242:W242" si="294">V$78 * V212</f>
        <v>1.3343124115777804E-2</v>
      </c>
      <c r="W242" s="290">
        <f t="shared" si="294"/>
        <v>0</v>
      </c>
      <c r="X242" s="290">
        <f t="shared" ref="X242:Y242" si="295">X$78 * X212</f>
        <v>1.3053330107597549E-2</v>
      </c>
      <c r="Y242" s="290">
        <f t="shared" si="295"/>
        <v>0</v>
      </c>
      <c r="Z242" s="272"/>
      <c r="AA242" s="272"/>
    </row>
    <row r="243" spans="2:27" x14ac:dyDescent="0.25">
      <c r="D243"/>
      <c r="F243" t="s">
        <v>196</v>
      </c>
      <c r="G243" t="s">
        <v>272</v>
      </c>
      <c r="H243" s="272"/>
      <c r="I243" s="272"/>
      <c r="J243" s="290">
        <f t="shared" ref="J243:K243" si="296">J$78 * J213</f>
        <v>0</v>
      </c>
      <c r="K243" s="290">
        <f t="shared" si="296"/>
        <v>0</v>
      </c>
      <c r="L243" s="290">
        <f t="shared" ref="L243:M243" si="297">L$78 * L213</f>
        <v>0</v>
      </c>
      <c r="M243" s="290">
        <f t="shared" si="297"/>
        <v>0</v>
      </c>
      <c r="N243" s="290">
        <f t="shared" ref="N243:P243" si="298">N$78 * N213</f>
        <v>0</v>
      </c>
      <c r="O243" s="290">
        <f t="shared" si="298"/>
        <v>0</v>
      </c>
      <c r="P243" s="290">
        <f t="shared" si="298"/>
        <v>0</v>
      </c>
      <c r="Q243" s="290">
        <f t="shared" ref="Q243:S243" si="299">Q$78 * Q213</f>
        <v>0</v>
      </c>
      <c r="R243" s="290">
        <f t="shared" si="299"/>
        <v>0</v>
      </c>
      <c r="S243" s="290">
        <f t="shared" si="299"/>
        <v>0</v>
      </c>
      <c r="T243" s="290">
        <f t="shared" ref="T243:U243" si="300">T$78 * T213</f>
        <v>0</v>
      </c>
      <c r="U243" s="290">
        <f t="shared" si="300"/>
        <v>0</v>
      </c>
      <c r="V243" s="290">
        <f t="shared" ref="V243:W243" si="301">V$78 * V213</f>
        <v>0</v>
      </c>
      <c r="W243" s="290">
        <f t="shared" si="301"/>
        <v>0</v>
      </c>
      <c r="X243" s="290">
        <f t="shared" ref="X243:Y243" si="302">X$78 * X213</f>
        <v>0</v>
      </c>
      <c r="Y243" s="290">
        <f t="shared" si="302"/>
        <v>0</v>
      </c>
      <c r="Z243" s="272"/>
      <c r="AA243" s="272"/>
    </row>
    <row r="244" spans="2:27" x14ac:dyDescent="0.25">
      <c r="D244"/>
      <c r="F244" t="s">
        <v>197</v>
      </c>
      <c r="G244" t="s">
        <v>272</v>
      </c>
      <c r="H244" s="272"/>
      <c r="I244" s="272"/>
      <c r="J244" s="290">
        <f t="shared" ref="J244:K244" si="303">J$78 * J214</f>
        <v>0</v>
      </c>
      <c r="K244" s="290">
        <f t="shared" si="303"/>
        <v>0</v>
      </c>
      <c r="L244" s="290">
        <f t="shared" ref="L244:M244" si="304">L$78 * L214</f>
        <v>0</v>
      </c>
      <c r="M244" s="290">
        <f t="shared" si="304"/>
        <v>0</v>
      </c>
      <c r="N244" s="290">
        <f t="shared" ref="N244:P244" si="305">N$78 * N214</f>
        <v>6.4461880046478015E-2</v>
      </c>
      <c r="O244" s="290">
        <f t="shared" si="305"/>
        <v>0</v>
      </c>
      <c r="P244" s="290">
        <f t="shared" si="305"/>
        <v>0</v>
      </c>
      <c r="Q244" s="290">
        <f t="shared" ref="Q244:S244" si="306">Q$78 * Q214</f>
        <v>0</v>
      </c>
      <c r="R244" s="290">
        <f t="shared" si="306"/>
        <v>0</v>
      </c>
      <c r="S244" s="290">
        <f t="shared" si="306"/>
        <v>0</v>
      </c>
      <c r="T244" s="290">
        <f t="shared" ref="T244:U244" si="307">T$78 * T214</f>
        <v>5.6907403401289074E-2</v>
      </c>
      <c r="U244" s="290">
        <f t="shared" si="307"/>
        <v>0</v>
      </c>
      <c r="V244" s="290">
        <f t="shared" ref="V244:W244" si="308">V$78 * V214</f>
        <v>5.513718225248411E-2</v>
      </c>
      <c r="W244" s="290">
        <f t="shared" si="308"/>
        <v>0</v>
      </c>
      <c r="X244" s="290">
        <f t="shared" ref="X244:Y244" si="309">X$78 * X214</f>
        <v>5.3939679710645456E-2</v>
      </c>
      <c r="Y244" s="290">
        <f t="shared" si="309"/>
        <v>0</v>
      </c>
      <c r="Z244" s="272"/>
      <c r="AA244" s="272"/>
    </row>
    <row r="245" spans="2:27" x14ac:dyDescent="0.25">
      <c r="D245"/>
      <c r="F245" t="s">
        <v>198</v>
      </c>
      <c r="G245" t="s">
        <v>272</v>
      </c>
      <c r="H245" s="272"/>
      <c r="I245" s="272"/>
      <c r="J245" s="290">
        <f t="shared" ref="J245:K245" si="310">J$78 * J215</f>
        <v>0</v>
      </c>
      <c r="K245" s="290">
        <f t="shared" si="310"/>
        <v>0</v>
      </c>
      <c r="L245" s="290">
        <f t="shared" ref="L245:M245" si="311">L$78 * L215</f>
        <v>0</v>
      </c>
      <c r="M245" s="290">
        <f t="shared" si="311"/>
        <v>0</v>
      </c>
      <c r="N245" s="290">
        <f t="shared" ref="N245:P245" si="312">N$78 * N215</f>
        <v>0</v>
      </c>
      <c r="O245" s="290">
        <f t="shared" si="312"/>
        <v>0</v>
      </c>
      <c r="P245" s="290">
        <f t="shared" si="312"/>
        <v>0</v>
      </c>
      <c r="Q245" s="290">
        <f t="shared" ref="Q245:S245" si="313">Q$78 * Q215</f>
        <v>0</v>
      </c>
      <c r="R245" s="290">
        <f t="shared" si="313"/>
        <v>0</v>
      </c>
      <c r="S245" s="290">
        <f t="shared" si="313"/>
        <v>0</v>
      </c>
      <c r="T245" s="290">
        <f t="shared" ref="T245:U245" si="314">T$78 * T215</f>
        <v>1.3780216864130272E-2</v>
      </c>
      <c r="U245" s="290">
        <f t="shared" si="314"/>
        <v>0</v>
      </c>
      <c r="V245" s="290">
        <f t="shared" ref="V245:W245" si="315">V$78 * V215</f>
        <v>1.3351555040360437E-2</v>
      </c>
      <c r="W245" s="290">
        <f t="shared" si="315"/>
        <v>0</v>
      </c>
      <c r="X245" s="290">
        <f t="shared" ref="X245:Y245" si="316">X$78 * X215</f>
        <v>0</v>
      </c>
      <c r="Y245" s="290">
        <f t="shared" si="316"/>
        <v>0</v>
      </c>
      <c r="Z245" s="272"/>
      <c r="AA245" s="272"/>
    </row>
    <row r="246" spans="2:27" x14ac:dyDescent="0.25">
      <c r="D246"/>
      <c r="F246" t="s">
        <v>199</v>
      </c>
      <c r="G246" t="s">
        <v>272</v>
      </c>
      <c r="H246" s="272"/>
      <c r="I246" s="272"/>
      <c r="J246" s="290">
        <f t="shared" ref="J246:K246" si="317">J$78 * J216</f>
        <v>0</v>
      </c>
      <c r="K246" s="290">
        <f t="shared" si="317"/>
        <v>0</v>
      </c>
      <c r="L246" s="290">
        <f t="shared" ref="L246:M246" si="318">L$78 * L216</f>
        <v>0</v>
      </c>
      <c r="M246" s="290">
        <f t="shared" si="318"/>
        <v>0</v>
      </c>
      <c r="N246" s="290">
        <f t="shared" ref="N246:P246" si="319">N$78 * N216</f>
        <v>0</v>
      </c>
      <c r="O246" s="290">
        <f t="shared" si="319"/>
        <v>0</v>
      </c>
      <c r="P246" s="290">
        <f t="shared" si="319"/>
        <v>0</v>
      </c>
      <c r="Q246" s="290">
        <f t="shared" ref="Q246:S246" si="320">Q$78 * Q216</f>
        <v>0</v>
      </c>
      <c r="R246" s="290">
        <f t="shared" si="320"/>
        <v>0</v>
      </c>
      <c r="S246" s="290">
        <f t="shared" si="320"/>
        <v>0</v>
      </c>
      <c r="T246" s="290">
        <f t="shared" ref="T246:U246" si="321">T$78 * T216</f>
        <v>3.2711602583885467E-2</v>
      </c>
      <c r="U246" s="290">
        <f t="shared" si="321"/>
        <v>0</v>
      </c>
      <c r="V246" s="290">
        <f t="shared" ref="V246:W246" si="322">V$78 * V216</f>
        <v>0</v>
      </c>
      <c r="W246" s="290">
        <f t="shared" si="322"/>
        <v>0</v>
      </c>
      <c r="X246" s="290">
        <f t="shared" ref="X246:Y246" si="323">X$78 * X216</f>
        <v>0</v>
      </c>
      <c r="Y246" s="290">
        <f t="shared" si="323"/>
        <v>0</v>
      </c>
      <c r="Z246" s="272"/>
      <c r="AA246" s="272"/>
    </row>
    <row r="247" spans="2:27" x14ac:dyDescent="0.25">
      <c r="D247"/>
      <c r="F247" t="s">
        <v>376</v>
      </c>
      <c r="G247" t="s">
        <v>272</v>
      </c>
      <c r="H247" s="272"/>
      <c r="I247" s="272"/>
      <c r="J247" s="273"/>
      <c r="K247" s="273"/>
      <c r="L247" s="273"/>
      <c r="M247" s="273"/>
      <c r="N247" s="273"/>
      <c r="O247" s="273"/>
      <c r="P247" s="273"/>
      <c r="Q247" s="273"/>
      <c r="R247" s="273"/>
      <c r="S247" s="273"/>
      <c r="T247" s="273"/>
      <c r="U247" s="273"/>
      <c r="V247" s="273"/>
      <c r="W247" s="273"/>
      <c r="X247" s="273"/>
      <c r="Y247" s="273"/>
      <c r="Z247" s="272"/>
      <c r="AA247" s="272"/>
    </row>
    <row r="248" spans="2:27" x14ac:dyDescent="0.25">
      <c r="D248"/>
      <c r="F248" s="37" t="s">
        <v>377</v>
      </c>
      <c r="G248" s="37" t="s">
        <v>272</v>
      </c>
      <c r="H248" s="276"/>
      <c r="I248" s="276"/>
      <c r="J248" s="277"/>
      <c r="K248" s="277"/>
      <c r="L248" s="277"/>
      <c r="M248" s="277"/>
      <c r="N248" s="277"/>
      <c r="O248" s="277"/>
      <c r="P248" s="277"/>
      <c r="Q248" s="277"/>
      <c r="R248" s="277"/>
      <c r="S248" s="277"/>
      <c r="T248" s="277"/>
      <c r="U248" s="277"/>
      <c r="V248" s="277"/>
      <c r="W248" s="277"/>
      <c r="X248" s="277"/>
      <c r="Y248" s="277"/>
      <c r="Z248" s="272"/>
      <c r="AA248" s="272"/>
    </row>
    <row r="249" spans="2:27" x14ac:dyDescent="0.25">
      <c r="C249" s="88"/>
      <c r="J249" s="89"/>
      <c r="K249" s="89"/>
      <c r="L249" s="89"/>
      <c r="M249" s="89"/>
      <c r="N249" s="89"/>
      <c r="O249" s="89"/>
      <c r="P249" s="89"/>
      <c r="Q249" s="89"/>
      <c r="R249" s="89"/>
      <c r="S249" s="89"/>
      <c r="T249" s="89"/>
      <c r="U249" s="89"/>
      <c r="V249" s="89"/>
      <c r="W249" s="89"/>
      <c r="X249" s="89"/>
      <c r="Y249" s="89"/>
    </row>
    <row r="250" spans="2:27" x14ac:dyDescent="0.25">
      <c r="E250" t="s">
        <v>684</v>
      </c>
      <c r="G250" t="s">
        <v>272</v>
      </c>
      <c r="H250" s="272"/>
      <c r="I250" s="272" t="s">
        <v>154</v>
      </c>
      <c r="J250" s="280">
        <f t="shared" ref="J250:K250" si="324">SUM(J223:J234,J237:J248)</f>
        <v>0</v>
      </c>
      <c r="K250" s="280">
        <f t="shared" si="324"/>
        <v>0</v>
      </c>
      <c r="L250" s="280">
        <f t="shared" ref="L250:M250" si="325">SUM(L223:L234,L237:L248)</f>
        <v>0</v>
      </c>
      <c r="M250" s="280">
        <f t="shared" si="325"/>
        <v>0</v>
      </c>
      <c r="N250" s="280">
        <f t="shared" ref="N250:P250" si="326">SUM(N223:N234,N237:N248)</f>
        <v>0.27331421440687764</v>
      </c>
      <c r="O250" s="280">
        <f t="shared" si="326"/>
        <v>0.1268234960859709</v>
      </c>
      <c r="P250" s="280">
        <f t="shared" si="326"/>
        <v>8.943027690120936E-2</v>
      </c>
      <c r="Q250" s="280">
        <f t="shared" ref="Q250:S250" si="327">SUM(Q223:Q234,Q237:Q248)</f>
        <v>0</v>
      </c>
      <c r="R250" s="280">
        <f t="shared" si="327"/>
        <v>0</v>
      </c>
      <c r="S250" s="280">
        <f t="shared" si="327"/>
        <v>0</v>
      </c>
      <c r="T250" s="280">
        <f t="shared" ref="T250:U250" si="328">SUM(T223:T234,T237:T248)</f>
        <v>0.26353316215755945</v>
      </c>
      <c r="U250" s="280">
        <f t="shared" si="328"/>
        <v>0</v>
      </c>
      <c r="V250" s="280">
        <f t="shared" ref="V250:W250" si="329">SUM(V223:V234,V237:V248)</f>
        <v>0.22238816388478141</v>
      </c>
      <c r="W250" s="280">
        <f t="shared" si="329"/>
        <v>0</v>
      </c>
      <c r="X250" s="280">
        <f t="shared" ref="X250:Y250" si="330">SUM(X223:X234,X237:X248)</f>
        <v>0.20330260311142292</v>
      </c>
      <c r="Y250" s="280">
        <f t="shared" si="330"/>
        <v>0</v>
      </c>
      <c r="Z250" s="272"/>
      <c r="AA250" s="272" t="s">
        <v>683</v>
      </c>
    </row>
    <row r="251" spans="2:27" x14ac:dyDescent="0.25">
      <c r="C251" s="88"/>
    </row>
    <row r="252" spans="2:27" x14ac:dyDescent="0.25">
      <c r="B252" s="30" t="s">
        <v>231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25">
      <c r="E254" t="s">
        <v>232</v>
      </c>
      <c r="G254" s="6" t="s">
        <v>55</v>
      </c>
      <c r="H254" s="26">
        <f t="array" ref="H254">SUM(IF(ISERROR(H21:Y250), 1))</f>
        <v>0</v>
      </c>
    </row>
    <row r="256" spans="2:27" x14ac:dyDescent="0.25">
      <c r="B256" s="30" t="s">
        <v>106</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25">
      <c r="R279" s="63"/>
      <c r="S279" s="63"/>
      <c r="T279" s="63"/>
      <c r="U279" s="63"/>
      <c r="V279" s="63"/>
      <c r="W279" s="63"/>
    </row>
    <row r="280" spans="18:23" x14ac:dyDescent="0.25">
      <c r="R280" s="63"/>
      <c r="S280" s="63"/>
      <c r="T280" s="63"/>
      <c r="U280" s="63"/>
      <c r="V280" s="63"/>
      <c r="W280" s="63"/>
    </row>
    <row r="281" spans="18:23" x14ac:dyDescent="0.25">
      <c r="R281" s="63"/>
      <c r="S281" s="63"/>
      <c r="T281" s="63"/>
      <c r="U281" s="63"/>
      <c r="V281" s="63"/>
      <c r="W281" s="63"/>
    </row>
    <row r="282" spans="18:23" x14ac:dyDescent="0.25">
      <c r="R282" s="63"/>
      <c r="S282" s="63"/>
      <c r="T282" s="63"/>
      <c r="U282" s="63"/>
      <c r="V282" s="63"/>
      <c r="W282" s="63"/>
    </row>
    <row r="283" spans="18:23" x14ac:dyDescent="0.25">
      <c r="R283" s="63"/>
      <c r="S283" s="63"/>
      <c r="T283" s="63"/>
      <c r="U283" s="63"/>
      <c r="V283" s="63"/>
      <c r="W283" s="63"/>
    </row>
    <row r="284" spans="18:23" x14ac:dyDescent="0.25">
      <c r="R284" s="63"/>
      <c r="S284" s="63"/>
      <c r="T284" s="63"/>
      <c r="U284" s="63"/>
      <c r="V284" s="63"/>
      <c r="W284" s="63"/>
    </row>
    <row r="285" spans="18:23" x14ac:dyDescent="0.25">
      <c r="R285" s="63"/>
      <c r="S285" s="63"/>
      <c r="T285" s="63"/>
      <c r="U285" s="63"/>
      <c r="V285" s="63"/>
      <c r="W285" s="63"/>
    </row>
    <row r="286" spans="18:23" x14ac:dyDescent="0.25">
      <c r="R286" s="63"/>
      <c r="S286" s="63"/>
      <c r="T286" s="63"/>
      <c r="U286" s="63"/>
      <c r="V286" s="63"/>
      <c r="W286" s="63"/>
    </row>
    <row r="287" spans="18:23" x14ac:dyDescent="0.25">
      <c r="R287" s="63"/>
      <c r="S287" s="63"/>
      <c r="T287" s="63"/>
      <c r="U287" s="63"/>
      <c r="V287" s="63"/>
      <c r="W287" s="63"/>
    </row>
    <row r="288" spans="18:23" x14ac:dyDescent="0.25">
      <c r="R288" s="63"/>
      <c r="S288" s="63"/>
      <c r="T288" s="63"/>
      <c r="U288" s="63"/>
      <c r="V288" s="63"/>
      <c r="W288" s="63"/>
    </row>
    <row r="289" spans="18:23" x14ac:dyDescent="0.25">
      <c r="R289" s="63"/>
      <c r="S289" s="63"/>
      <c r="T289" s="63"/>
      <c r="U289" s="63"/>
      <c r="V289" s="63"/>
      <c r="W289" s="63"/>
    </row>
    <row r="290" spans="18:23" x14ac:dyDescent="0.25">
      <c r="R290" s="63"/>
      <c r="S290" s="63"/>
      <c r="T290" s="63"/>
      <c r="U290" s="63"/>
      <c r="V290" s="63"/>
      <c r="W290" s="63"/>
    </row>
    <row r="291" spans="18:23" x14ac:dyDescent="0.25">
      <c r="R291" s="63"/>
      <c r="S291" s="63"/>
      <c r="T291" s="63"/>
      <c r="U291" s="63"/>
      <c r="V291" s="63"/>
      <c r="W291" s="63"/>
    </row>
    <row r="292" spans="18:23" x14ac:dyDescent="0.25">
      <c r="R292" s="63"/>
      <c r="S292" s="63"/>
      <c r="T292" s="63"/>
      <c r="U292" s="63"/>
      <c r="V292" s="63"/>
      <c r="W292" s="63"/>
    </row>
  </sheetData>
  <sheetProtection sheet="1" objects="1" formatCells="0" formatColumns="0" formatRows="0" sort="0" autoFilter="0"/>
  <conditionalFormatting sqref="H254">
    <cfRule type="cellIs" dxfId="79" priority="10" operator="greaterThan">
      <formula>0</formula>
    </cfRule>
  </conditionalFormatting>
  <conditionalFormatting sqref="A4:I4 Z4:XFD4">
    <cfRule type="expression" dxfId="78" priority="9">
      <formula>LEFT($A$4,1) &lt;&gt; "0"</formula>
    </cfRule>
  </conditionalFormatting>
  <conditionalFormatting sqref="N4:P4">
    <cfRule type="expression" dxfId="77" priority="8">
      <formula>LEFT($A$4,1) &lt;&gt; "0"</formula>
    </cfRule>
  </conditionalFormatting>
  <conditionalFormatting sqref="L4:M4">
    <cfRule type="expression" dxfId="76" priority="7">
      <formula>LEFT($A$4,1) &lt;&gt; "0"</formula>
    </cfRule>
  </conditionalFormatting>
  <conditionalFormatting sqref="J4:K4">
    <cfRule type="expression" dxfId="75" priority="6">
      <formula>LEFT($A$4,1) &lt;&gt; "0"</formula>
    </cfRule>
  </conditionalFormatting>
  <conditionalFormatting sqref="Q4">
    <cfRule type="expression" dxfId="74" priority="5">
      <formula>LEFT($A$4,1) &lt;&gt; "0"</formula>
    </cfRule>
  </conditionalFormatting>
  <conditionalFormatting sqref="R4:S4">
    <cfRule type="expression" dxfId="73" priority="4">
      <formula>LEFT($A$4,1) &lt;&gt; "0"</formula>
    </cfRule>
  </conditionalFormatting>
  <conditionalFormatting sqref="T4:U4">
    <cfRule type="expression" dxfId="72" priority="3">
      <formula>LEFT($A$4,1) &lt;&gt; "0"</formula>
    </cfRule>
  </conditionalFormatting>
  <conditionalFormatting sqref="V4:W4">
    <cfRule type="expression" dxfId="71" priority="2">
      <formula>LEFT($A$4,1) &lt;&gt; "0"</formula>
    </cfRule>
  </conditionalFormatting>
  <conditionalFormatting sqref="X4:Y4">
    <cfRule type="expression" dxfId="70" priority="1">
      <formula>LEFT($A$4,1) &lt;&gt; "0"</formula>
    </cfRule>
  </conditionalFormatting>
  <hyperlinks>
    <hyperlink ref="B5:F5" location="'Model map'!A1" display="Click here to return to model map" xr:uid="{00000000-0004-0000-14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4" tint="0.59999389629810485"/>
    <pageSetUpPr fitToPage="1"/>
  </sheetPr>
  <dimension ref="A1:KZ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Capacity charges</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H295 &amp; IF(H295 = 1, " issue", " issues") &amp;" identified in checks on this sheet"</f>
        <v>0 issues identified in checks on this sheet</v>
      </c>
      <c r="B4" s="13"/>
      <c r="C4" s="13"/>
      <c r="D4" s="13"/>
      <c r="E4" s="13"/>
      <c r="F4" s="13"/>
      <c r="G4" s="13"/>
      <c r="H4" s="14"/>
      <c r="I4" s="14"/>
      <c r="AA4" s="15"/>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D9" s="29" t="s">
        <v>685</v>
      </c>
      <c r="E9"/>
    </row>
    <row r="10" spans="1:27" x14ac:dyDescent="0.25">
      <c r="D10" s="29" t="s">
        <v>686</v>
      </c>
      <c r="E10"/>
    </row>
    <row r="11" spans="1:27" x14ac:dyDescent="0.25">
      <c r="D11" s="29" t="s">
        <v>687</v>
      </c>
      <c r="E11"/>
    </row>
    <row r="12" spans="1:27" x14ac:dyDescent="0.25">
      <c r="D12" s="29" t="s">
        <v>688</v>
      </c>
      <c r="E12"/>
    </row>
    <row r="13" spans="1:27" x14ac:dyDescent="0.25">
      <c r="D13" s="29" t="s">
        <v>689</v>
      </c>
      <c r="E13"/>
    </row>
    <row r="14" spans="1:27" x14ac:dyDescent="0.25">
      <c r="D14" s="29" t="s">
        <v>690</v>
      </c>
      <c r="E14"/>
    </row>
    <row r="15" spans="1:27" x14ac:dyDescent="0.25">
      <c r="D15" s="29" t="s">
        <v>691</v>
      </c>
    </row>
    <row r="17" spans="2:27" x14ac:dyDescent="0.25">
      <c r="B17" s="30" t="s">
        <v>692</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25">
      <c r="D18"/>
      <c r="E18"/>
    </row>
    <row r="19" spans="2:27" x14ac:dyDescent="0.25">
      <c r="C19" s="31" t="str">
        <f ca="1">INDEX('Version control'!$H$34:$H$57,MATCH($A$1,'Version control'!$F$34:$F$57,0),1)&amp;"-A: Inputs to capacity charge calculations"</f>
        <v>Section 113-A: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25">
      <c r="E21" s="32" t="s">
        <v>693</v>
      </c>
      <c r="F21" s="2"/>
    </row>
    <row r="22" spans="2:27" x14ac:dyDescent="0.25">
      <c r="D22"/>
      <c r="E22" s="29" t="s">
        <v>694</v>
      </c>
      <c r="F22" s="2"/>
    </row>
    <row r="23" spans="2:27" x14ac:dyDescent="0.25">
      <c r="C23" s="88"/>
      <c r="F23" s="108" t="s">
        <v>189</v>
      </c>
      <c r="G23" s="108" t="s">
        <v>167</v>
      </c>
      <c r="H23" s="207">
        <f>'System peak demand'!H226</f>
        <v>4.8999999999999932E-2</v>
      </c>
    </row>
    <row r="24" spans="2:27" x14ac:dyDescent="0.25">
      <c r="C24" s="88"/>
      <c r="F24" t="s">
        <v>191</v>
      </c>
      <c r="G24" t="s">
        <v>167</v>
      </c>
      <c r="H24" s="25">
        <f>'System peak demand'!H226</f>
        <v>4.8999999999999932E-2</v>
      </c>
    </row>
    <row r="25" spans="2:27" x14ac:dyDescent="0.25">
      <c r="C25" s="88"/>
      <c r="F25" t="s">
        <v>192</v>
      </c>
      <c r="G25" t="s">
        <v>167</v>
      </c>
      <c r="H25" s="25">
        <f>'System peak demand'!H227</f>
        <v>4.8999999999999932E-2</v>
      </c>
    </row>
    <row r="26" spans="2:27" x14ac:dyDescent="0.25">
      <c r="C26" s="88"/>
      <c r="F26" t="s">
        <v>193</v>
      </c>
      <c r="G26" t="s">
        <v>167</v>
      </c>
      <c r="H26" s="25">
        <f>'System peak demand'!H228</f>
        <v>4.8999999999999932E-2</v>
      </c>
    </row>
    <row r="27" spans="2:27" x14ac:dyDescent="0.25">
      <c r="C27" s="88"/>
      <c r="F27" t="s">
        <v>194</v>
      </c>
      <c r="G27" t="s">
        <v>167</v>
      </c>
      <c r="H27" s="25">
        <f>'System peak demand'!H229</f>
        <v>0.14058818999999989</v>
      </c>
    </row>
    <row r="28" spans="2:27" x14ac:dyDescent="0.25">
      <c r="C28" s="88"/>
      <c r="F28" t="s">
        <v>195</v>
      </c>
      <c r="G28" t="s">
        <v>167</v>
      </c>
      <c r="H28" s="25">
        <f>'System peak demand'!H230</f>
        <v>0.14058818999999989</v>
      </c>
    </row>
    <row r="29" spans="2:27" x14ac:dyDescent="0.25">
      <c r="C29" s="88"/>
      <c r="F29" t="s">
        <v>196</v>
      </c>
      <c r="G29" t="s">
        <v>167</v>
      </c>
      <c r="H29" s="25">
        <f>'System peak demand'!H231</f>
        <v>4.8999999999999932E-2</v>
      </c>
    </row>
    <row r="30" spans="2:27" x14ac:dyDescent="0.25">
      <c r="C30" s="88"/>
      <c r="F30" t="s">
        <v>197</v>
      </c>
      <c r="G30" t="s">
        <v>167</v>
      </c>
      <c r="H30" s="25">
        <f>'System peak demand'!H232</f>
        <v>0.74418746014799986</v>
      </c>
    </row>
    <row r="31" spans="2:27" x14ac:dyDescent="0.25">
      <c r="C31" s="88"/>
      <c r="F31" t="s">
        <v>198</v>
      </c>
      <c r="G31" t="s">
        <v>167</v>
      </c>
      <c r="H31" s="25">
        <f>'System peak demand'!H233</f>
        <v>0.74418746014799986</v>
      </c>
    </row>
    <row r="32" spans="2:27" x14ac:dyDescent="0.25">
      <c r="C32" s="88"/>
      <c r="F32" t="s">
        <v>199</v>
      </c>
      <c r="G32" t="s">
        <v>167</v>
      </c>
      <c r="H32" s="25">
        <f>'System peak demand'!H234</f>
        <v>0.9018323888989086</v>
      </c>
    </row>
    <row r="33" spans="3:8" x14ac:dyDescent="0.25">
      <c r="C33" s="88"/>
      <c r="F33" t="s">
        <v>376</v>
      </c>
      <c r="G33" t="s">
        <v>167</v>
      </c>
      <c r="H33" s="66"/>
    </row>
    <row r="34" spans="3:8" x14ac:dyDescent="0.25">
      <c r="C34" s="88"/>
      <c r="F34" s="37" t="s">
        <v>377</v>
      </c>
      <c r="G34" s="37" t="s">
        <v>167</v>
      </c>
      <c r="H34" s="68"/>
    </row>
    <row r="35" spans="3:8" x14ac:dyDescent="0.25">
      <c r="C35" s="88"/>
      <c r="F35" s="2"/>
    </row>
    <row r="36" spans="3:8" x14ac:dyDescent="0.25">
      <c r="E36" s="88" t="s">
        <v>394</v>
      </c>
      <c r="F36" s="2"/>
    </row>
    <row r="37" spans="3:8" x14ac:dyDescent="0.25">
      <c r="C37" s="88"/>
      <c r="F37" s="23" t="s">
        <v>189</v>
      </c>
      <c r="G37" s="64" t="s">
        <v>283</v>
      </c>
      <c r="H37" s="124">
        <f t="array" ref="H37:H46">TRANSPOSE('Load &amp; loss characteristics'!J29:S29)</f>
        <v>1</v>
      </c>
    </row>
    <row r="38" spans="3:8" x14ac:dyDescent="0.25">
      <c r="C38" s="88"/>
      <c r="F38" t="s">
        <v>191</v>
      </c>
      <c r="G38" s="28" t="s">
        <v>283</v>
      </c>
      <c r="H38" s="120">
        <v>1</v>
      </c>
    </row>
    <row r="39" spans="3:8" x14ac:dyDescent="0.25">
      <c r="C39" s="88"/>
      <c r="F39" t="s">
        <v>192</v>
      </c>
      <c r="G39" s="28" t="s">
        <v>283</v>
      </c>
      <c r="H39" s="120">
        <v>1</v>
      </c>
    </row>
    <row r="40" spans="3:8" x14ac:dyDescent="0.25">
      <c r="C40" s="88"/>
      <c r="F40" t="s">
        <v>193</v>
      </c>
      <c r="G40" s="28" t="s">
        <v>283</v>
      </c>
      <c r="H40" s="120">
        <v>1</v>
      </c>
    </row>
    <row r="41" spans="3:8" x14ac:dyDescent="0.25">
      <c r="C41" s="88"/>
      <c r="F41" t="s">
        <v>194</v>
      </c>
      <c r="G41" s="28" t="s">
        <v>283</v>
      </c>
      <c r="H41" s="120">
        <v>1.014</v>
      </c>
    </row>
    <row r="42" spans="3:8" x14ac:dyDescent="0.25">
      <c r="C42" s="88"/>
      <c r="F42" t="s">
        <v>195</v>
      </c>
      <c r="G42" s="28" t="s">
        <v>283</v>
      </c>
      <c r="H42" s="120">
        <v>1.026</v>
      </c>
    </row>
    <row r="43" spans="3:8" x14ac:dyDescent="0.25">
      <c r="C43" s="88"/>
      <c r="F43" t="s">
        <v>196</v>
      </c>
      <c r="G43" s="28" t="s">
        <v>283</v>
      </c>
      <c r="H43" s="120">
        <v>1.026</v>
      </c>
    </row>
    <row r="44" spans="3:8" x14ac:dyDescent="0.25">
      <c r="C44" s="88"/>
      <c r="F44" t="s">
        <v>197</v>
      </c>
      <c r="G44" s="28" t="s">
        <v>283</v>
      </c>
      <c r="H44" s="120">
        <v>1.036</v>
      </c>
    </row>
    <row r="45" spans="3:8" x14ac:dyDescent="0.25">
      <c r="C45" s="88"/>
      <c r="F45" t="s">
        <v>198</v>
      </c>
      <c r="G45" s="28" t="s">
        <v>283</v>
      </c>
      <c r="H45" s="120">
        <v>1.0589999999999999</v>
      </c>
    </row>
    <row r="46" spans="3:8" x14ac:dyDescent="0.25">
      <c r="C46" s="88"/>
      <c r="F46" t="s">
        <v>199</v>
      </c>
      <c r="G46" s="28" t="s">
        <v>283</v>
      </c>
      <c r="H46" s="120">
        <v>1.093</v>
      </c>
    </row>
    <row r="47" spans="3:8" x14ac:dyDescent="0.25">
      <c r="C47" s="88"/>
      <c r="F47" t="s">
        <v>376</v>
      </c>
      <c r="G47" s="28" t="s">
        <v>283</v>
      </c>
      <c r="H47" s="79"/>
    </row>
    <row r="48" spans="3:8" x14ac:dyDescent="0.25">
      <c r="C48" s="88"/>
      <c r="F48" s="37" t="s">
        <v>377</v>
      </c>
      <c r="G48" s="67" t="s">
        <v>283</v>
      </c>
      <c r="H48" s="81"/>
    </row>
    <row r="49" spans="3:8" x14ac:dyDescent="0.25">
      <c r="C49" s="88"/>
      <c r="F49" s="2"/>
      <c r="H49" s="89"/>
    </row>
    <row r="50" spans="3:8" x14ac:dyDescent="0.25">
      <c r="C50" s="88"/>
      <c r="E50" s="88" t="s">
        <v>584</v>
      </c>
      <c r="H50" s="89"/>
    </row>
    <row r="51" spans="3:8" x14ac:dyDescent="0.25">
      <c r="C51" s="88"/>
      <c r="E51" s="29"/>
      <c r="F51" s="23" t="s">
        <v>189</v>
      </c>
      <c r="G51" s="23" t="s">
        <v>585</v>
      </c>
      <c r="H51" s="83"/>
    </row>
    <row r="52" spans="3:8" x14ac:dyDescent="0.25">
      <c r="C52" s="88"/>
      <c r="E52" s="29"/>
      <c r="F52" t="s">
        <v>191</v>
      </c>
      <c r="G52" t="s">
        <v>585</v>
      </c>
      <c r="H52" s="79"/>
    </row>
    <row r="53" spans="3:8" x14ac:dyDescent="0.25">
      <c r="C53" s="88"/>
      <c r="E53" s="29"/>
      <c r="F53" t="s">
        <v>192</v>
      </c>
      <c r="G53" t="s">
        <v>585</v>
      </c>
      <c r="H53" s="120">
        <f t="array" ref="H53:H60">TRANSPOSE('Unit costs'!L114:S114)</f>
        <v>0</v>
      </c>
    </row>
    <row r="54" spans="3:8" x14ac:dyDescent="0.25">
      <c r="C54" s="88"/>
      <c r="E54" s="29"/>
      <c r="F54" t="s">
        <v>193</v>
      </c>
      <c r="G54" t="s">
        <v>585</v>
      </c>
      <c r="H54" s="120">
        <v>0</v>
      </c>
    </row>
    <row r="55" spans="3:8" x14ac:dyDescent="0.25">
      <c r="C55" s="88"/>
      <c r="E55" s="29"/>
      <c r="F55" t="s">
        <v>194</v>
      </c>
      <c r="G55" t="s">
        <v>585</v>
      </c>
      <c r="H55" s="120">
        <v>8.5499130321142616</v>
      </c>
    </row>
    <row r="56" spans="3:8" x14ac:dyDescent="0.25">
      <c r="C56" s="88"/>
      <c r="E56" s="29"/>
      <c r="F56" t="s">
        <v>195</v>
      </c>
      <c r="G56" t="s">
        <v>585</v>
      </c>
      <c r="H56" s="120">
        <v>7.827479186324136</v>
      </c>
    </row>
    <row r="57" spans="3:8" x14ac:dyDescent="0.25">
      <c r="C57" s="88"/>
      <c r="E57" s="29"/>
      <c r="F57" t="s">
        <v>196</v>
      </c>
      <c r="G57" t="s">
        <v>585</v>
      </c>
      <c r="H57" s="120">
        <v>0</v>
      </c>
    </row>
    <row r="58" spans="3:8" x14ac:dyDescent="0.25">
      <c r="C58" s="88"/>
      <c r="E58" s="29"/>
      <c r="F58" t="s">
        <v>197</v>
      </c>
      <c r="G58" t="s">
        <v>585</v>
      </c>
      <c r="H58" s="120">
        <v>32.660389396188918</v>
      </c>
    </row>
    <row r="59" spans="3:8" x14ac:dyDescent="0.25">
      <c r="C59" s="88"/>
      <c r="E59" s="29"/>
      <c r="F59" t="s">
        <v>198</v>
      </c>
      <c r="G59" t="s">
        <v>585</v>
      </c>
      <c r="H59" s="120">
        <v>8.0843451240730904</v>
      </c>
    </row>
    <row r="60" spans="3:8" x14ac:dyDescent="0.25">
      <c r="C60" s="88"/>
      <c r="E60" s="29"/>
      <c r="F60" t="s">
        <v>199</v>
      </c>
      <c r="G60" t="s">
        <v>585</v>
      </c>
      <c r="H60" s="120">
        <v>19.80682280455267</v>
      </c>
    </row>
    <row r="61" spans="3:8" x14ac:dyDescent="0.25">
      <c r="C61" s="88"/>
      <c r="E61" s="29"/>
      <c r="F61" t="s">
        <v>376</v>
      </c>
      <c r="G61" t="s">
        <v>585</v>
      </c>
      <c r="H61" s="79"/>
    </row>
    <row r="62" spans="3:8" x14ac:dyDescent="0.25">
      <c r="C62" s="88"/>
      <c r="E62" s="29"/>
      <c r="F62" s="37" t="s">
        <v>377</v>
      </c>
      <c r="G62" s="37" t="s">
        <v>585</v>
      </c>
      <c r="H62" s="81"/>
    </row>
    <row r="63" spans="3:8" x14ac:dyDescent="0.25">
      <c r="C63" s="88"/>
      <c r="D63"/>
      <c r="E63" s="29"/>
      <c r="H63" s="89"/>
    </row>
    <row r="64" spans="3:8" x14ac:dyDescent="0.25">
      <c r="C64" s="88"/>
      <c r="E64" s="88" t="s">
        <v>603</v>
      </c>
      <c r="H64" s="89"/>
    </row>
    <row r="65" spans="3:25" x14ac:dyDescent="0.25">
      <c r="C65" s="88"/>
      <c r="F65" s="23" t="s">
        <v>189</v>
      </c>
      <c r="G65" s="23" t="s">
        <v>585</v>
      </c>
      <c r="H65" s="124">
        <f t="array" ref="H65:H74">TRANSPOSE('Unit costs'!J115:S115)</f>
        <v>24.747806029526803</v>
      </c>
    </row>
    <row r="66" spans="3:25" x14ac:dyDescent="0.25">
      <c r="C66" s="88"/>
      <c r="F66" t="s">
        <v>191</v>
      </c>
      <c r="G66" t="s">
        <v>585</v>
      </c>
      <c r="H66" s="120">
        <v>0</v>
      </c>
    </row>
    <row r="67" spans="3:25" x14ac:dyDescent="0.25">
      <c r="C67" s="88"/>
      <c r="F67" t="s">
        <v>192</v>
      </c>
      <c r="G67" t="s">
        <v>585</v>
      </c>
      <c r="H67" s="120">
        <v>0</v>
      </c>
    </row>
    <row r="68" spans="3:25" x14ac:dyDescent="0.25">
      <c r="C68" s="88"/>
      <c r="F68" t="s">
        <v>193</v>
      </c>
      <c r="G68" t="s">
        <v>585</v>
      </c>
      <c r="H68" s="120">
        <v>0</v>
      </c>
    </row>
    <row r="69" spans="3:25" x14ac:dyDescent="0.25">
      <c r="C69" s="88"/>
      <c r="F69" t="s">
        <v>194</v>
      </c>
      <c r="G69" t="s">
        <v>585</v>
      </c>
      <c r="H69" s="120">
        <v>7.1912626022528343</v>
      </c>
    </row>
    <row r="70" spans="3:25" x14ac:dyDescent="0.25">
      <c r="C70" s="88"/>
      <c r="F70" t="s">
        <v>195</v>
      </c>
      <c r="G70" t="s">
        <v>585</v>
      </c>
      <c r="H70" s="120">
        <v>6.5836293458303965</v>
      </c>
    </row>
    <row r="71" spans="3:25" x14ac:dyDescent="0.25">
      <c r="C71" s="88"/>
      <c r="F71" t="s">
        <v>196</v>
      </c>
      <c r="G71" t="s">
        <v>585</v>
      </c>
      <c r="H71" s="120">
        <v>0</v>
      </c>
    </row>
    <row r="72" spans="3:25" x14ac:dyDescent="0.25">
      <c r="C72" s="88"/>
      <c r="F72" t="s">
        <v>197</v>
      </c>
      <c r="G72" t="s">
        <v>585</v>
      </c>
      <c r="H72" s="120">
        <v>27.470388991985899</v>
      </c>
    </row>
    <row r="73" spans="3:25" x14ac:dyDescent="0.25">
      <c r="C73" s="88"/>
      <c r="F73" t="s">
        <v>198</v>
      </c>
      <c r="G73" t="s">
        <v>585</v>
      </c>
      <c r="H73" s="120">
        <v>6.7996772056142847</v>
      </c>
    </row>
    <row r="74" spans="3:25" x14ac:dyDescent="0.25">
      <c r="C74" s="88"/>
      <c r="F74" t="s">
        <v>199</v>
      </c>
      <c r="G74" t="s">
        <v>585</v>
      </c>
      <c r="H74" s="120">
        <v>16.659358237776829</v>
      </c>
    </row>
    <row r="75" spans="3:25" x14ac:dyDescent="0.25">
      <c r="C75" s="88"/>
      <c r="F75" t="s">
        <v>376</v>
      </c>
      <c r="G75" t="s">
        <v>585</v>
      </c>
      <c r="H75" s="79"/>
    </row>
    <row r="76" spans="3:25" x14ac:dyDescent="0.25">
      <c r="C76" s="88"/>
      <c r="F76" s="37" t="s">
        <v>377</v>
      </c>
      <c r="G76" s="37" t="s">
        <v>585</v>
      </c>
      <c r="H76" s="81"/>
    </row>
    <row r="77" spans="3:25" x14ac:dyDescent="0.25">
      <c r="C77" s="88"/>
      <c r="F77" s="2"/>
    </row>
    <row r="78" spans="3:25" x14ac:dyDescent="0.25">
      <c r="E78" s="32" t="s">
        <v>408</v>
      </c>
      <c r="F78" s="2"/>
    </row>
    <row r="79" spans="3:25" x14ac:dyDescent="0.25">
      <c r="E79" s="29" t="s">
        <v>401</v>
      </c>
    </row>
    <row r="80" spans="3:25" x14ac:dyDescent="0.25">
      <c r="C80" s="88"/>
      <c r="F80" s="23" t="s">
        <v>189</v>
      </c>
      <c r="G80" s="64" t="s">
        <v>283</v>
      </c>
      <c r="H80" s="208"/>
      <c r="I80" s="208"/>
      <c r="J80" s="124">
        <f t="array" ref="J80:Y89">TRANSPOSE('Load &amp; loss characteristics'!J145:S160)</f>
        <v>1.093</v>
      </c>
      <c r="K80" s="124">
        <v>1.093</v>
      </c>
      <c r="L80" s="124">
        <v>1.093</v>
      </c>
      <c r="M80" s="124">
        <v>1.093</v>
      </c>
      <c r="N80" s="124">
        <v>1.093</v>
      </c>
      <c r="O80" s="124">
        <v>1.0589999999999999</v>
      </c>
      <c r="P80" s="124">
        <v>1.036</v>
      </c>
      <c r="Q80" s="124">
        <v>1.093</v>
      </c>
      <c r="R80" s="124">
        <v>-1.093</v>
      </c>
      <c r="S80" s="124">
        <v>-1.0589999999999999</v>
      </c>
      <c r="T80" s="124">
        <v>-1.093</v>
      </c>
      <c r="U80" s="124">
        <v>-1.093</v>
      </c>
      <c r="V80" s="124">
        <v>-1.0589999999999999</v>
      </c>
      <c r="W80" s="124">
        <v>-1.0589999999999999</v>
      </c>
      <c r="X80" s="124">
        <v>-1.036</v>
      </c>
      <c r="Y80" s="124">
        <v>-1.036</v>
      </c>
    </row>
    <row r="81" spans="3:42" x14ac:dyDescent="0.25">
      <c r="C81" s="88"/>
      <c r="F81" t="s">
        <v>191</v>
      </c>
      <c r="G81" s="28" t="s">
        <v>283</v>
      </c>
      <c r="H81" s="209"/>
      <c r="I81" s="209"/>
      <c r="J81" s="120">
        <v>1.093</v>
      </c>
      <c r="K81" s="120">
        <v>1.093</v>
      </c>
      <c r="L81" s="120">
        <v>1.093</v>
      </c>
      <c r="M81" s="120">
        <v>1.093</v>
      </c>
      <c r="N81" s="120">
        <v>1.093</v>
      </c>
      <c r="O81" s="120">
        <v>1.0589999999999999</v>
      </c>
      <c r="P81" s="120">
        <v>1.036</v>
      </c>
      <c r="Q81" s="120">
        <v>1.093</v>
      </c>
      <c r="R81" s="120">
        <v>-1.093</v>
      </c>
      <c r="S81" s="120">
        <v>-1.0589999999999999</v>
      </c>
      <c r="T81" s="120">
        <v>-1.093</v>
      </c>
      <c r="U81" s="120">
        <v>-1.093</v>
      </c>
      <c r="V81" s="120">
        <v>-1.0589999999999999</v>
      </c>
      <c r="W81" s="120">
        <v>-1.0589999999999999</v>
      </c>
      <c r="X81" s="120">
        <v>-1.036</v>
      </c>
      <c r="Y81" s="120">
        <v>-1.036</v>
      </c>
    </row>
    <row r="82" spans="3:42" x14ac:dyDescent="0.25">
      <c r="C82" s="88"/>
      <c r="F82" t="s">
        <v>192</v>
      </c>
      <c r="G82" s="28" t="s">
        <v>283</v>
      </c>
      <c r="H82" s="209"/>
      <c r="I82" s="209"/>
      <c r="J82" s="120">
        <v>1.093</v>
      </c>
      <c r="K82" s="120">
        <v>1.093</v>
      </c>
      <c r="L82" s="120">
        <v>1.093</v>
      </c>
      <c r="M82" s="120">
        <v>1.093</v>
      </c>
      <c r="N82" s="120">
        <v>1.093</v>
      </c>
      <c r="O82" s="120">
        <v>1.0589999999999999</v>
      </c>
      <c r="P82" s="120">
        <v>1.036</v>
      </c>
      <c r="Q82" s="120">
        <v>1.093</v>
      </c>
      <c r="R82" s="120">
        <v>-1.093</v>
      </c>
      <c r="S82" s="120">
        <v>-1.0589999999999999</v>
      </c>
      <c r="T82" s="120">
        <v>-1.093</v>
      </c>
      <c r="U82" s="120">
        <v>-1.093</v>
      </c>
      <c r="V82" s="120">
        <v>-1.0589999999999999</v>
      </c>
      <c r="W82" s="120">
        <v>-1.0589999999999999</v>
      </c>
      <c r="X82" s="120">
        <v>-1.036</v>
      </c>
      <c r="Y82" s="120">
        <v>-1.036</v>
      </c>
    </row>
    <row r="83" spans="3:42" x14ac:dyDescent="0.25">
      <c r="C83" s="88"/>
      <c r="F83" t="s">
        <v>193</v>
      </c>
      <c r="G83" s="28" t="s">
        <v>283</v>
      </c>
      <c r="H83" s="209"/>
      <c r="I83" s="209"/>
      <c r="J83" s="120">
        <v>1.093</v>
      </c>
      <c r="K83" s="120">
        <v>1.093</v>
      </c>
      <c r="L83" s="120">
        <v>1.093</v>
      </c>
      <c r="M83" s="120">
        <v>1.093</v>
      </c>
      <c r="N83" s="120">
        <v>1.093</v>
      </c>
      <c r="O83" s="120">
        <v>1.0589999999999999</v>
      </c>
      <c r="P83" s="120">
        <v>1.036</v>
      </c>
      <c r="Q83" s="120">
        <v>1.093</v>
      </c>
      <c r="R83" s="120">
        <v>-1.093</v>
      </c>
      <c r="S83" s="120">
        <v>-1.0589999999999999</v>
      </c>
      <c r="T83" s="120">
        <v>-1.093</v>
      </c>
      <c r="U83" s="120">
        <v>-1.093</v>
      </c>
      <c r="V83" s="120">
        <v>-1.0589999999999999</v>
      </c>
      <c r="W83" s="120">
        <v>-1.0589999999999999</v>
      </c>
      <c r="X83" s="120">
        <v>-1.036</v>
      </c>
      <c r="Y83" s="120">
        <v>-1.036</v>
      </c>
    </row>
    <row r="84" spans="3:42" x14ac:dyDescent="0.25">
      <c r="C84" s="88"/>
      <c r="F84" t="s">
        <v>194</v>
      </c>
      <c r="G84" s="28" t="s">
        <v>283</v>
      </c>
      <c r="H84" s="209"/>
      <c r="I84" s="209"/>
      <c r="J84" s="120">
        <v>1.093</v>
      </c>
      <c r="K84" s="120">
        <v>1.093</v>
      </c>
      <c r="L84" s="120">
        <v>1.093</v>
      </c>
      <c r="M84" s="120">
        <v>1.093</v>
      </c>
      <c r="N84" s="120">
        <v>1.093</v>
      </c>
      <c r="O84" s="120">
        <v>1.0589999999999999</v>
      </c>
      <c r="P84" s="120">
        <v>1.036</v>
      </c>
      <c r="Q84" s="120">
        <v>1.093</v>
      </c>
      <c r="R84" s="120">
        <v>-1.093</v>
      </c>
      <c r="S84" s="120">
        <v>-1.0589999999999999</v>
      </c>
      <c r="T84" s="120">
        <v>-1.093</v>
      </c>
      <c r="U84" s="120">
        <v>-1.093</v>
      </c>
      <c r="V84" s="120">
        <v>-1.0589999999999999</v>
      </c>
      <c r="W84" s="120">
        <v>-1.0589999999999999</v>
      </c>
      <c r="X84" s="120">
        <v>-1.036</v>
      </c>
      <c r="Y84" s="120">
        <v>-1.036</v>
      </c>
    </row>
    <row r="85" spans="3:42" x14ac:dyDescent="0.25">
      <c r="C85" s="88"/>
      <c r="F85" t="s">
        <v>195</v>
      </c>
      <c r="G85" s="28" t="s">
        <v>283</v>
      </c>
      <c r="H85" s="209"/>
      <c r="I85" s="209"/>
      <c r="J85" s="120">
        <v>1.093</v>
      </c>
      <c r="K85" s="120">
        <v>1.093</v>
      </c>
      <c r="L85" s="120">
        <v>1.093</v>
      </c>
      <c r="M85" s="120">
        <v>1.093</v>
      </c>
      <c r="N85" s="120">
        <v>1.093</v>
      </c>
      <c r="O85" s="120">
        <v>1.0589999999999999</v>
      </c>
      <c r="P85" s="120">
        <v>1.036</v>
      </c>
      <c r="Q85" s="120">
        <v>1.093</v>
      </c>
      <c r="R85" s="120">
        <v>-1.093</v>
      </c>
      <c r="S85" s="120">
        <v>-1.0589999999999999</v>
      </c>
      <c r="T85" s="120">
        <v>-1.093</v>
      </c>
      <c r="U85" s="120">
        <v>-1.093</v>
      </c>
      <c r="V85" s="120">
        <v>-1.0589999999999999</v>
      </c>
      <c r="W85" s="120">
        <v>-1.0589999999999999</v>
      </c>
      <c r="X85" s="120">
        <v>-1.036</v>
      </c>
      <c r="Y85" s="120">
        <v>-1.036</v>
      </c>
    </row>
    <row r="86" spans="3:42" x14ac:dyDescent="0.25">
      <c r="C86" s="88"/>
      <c r="F86" t="s">
        <v>196</v>
      </c>
      <c r="G86" s="28" t="s">
        <v>283</v>
      </c>
      <c r="H86" s="209"/>
      <c r="I86" s="209"/>
      <c r="J86" s="120">
        <v>0</v>
      </c>
      <c r="K86" s="120">
        <v>0</v>
      </c>
      <c r="L86" s="120">
        <v>0</v>
      </c>
      <c r="M86" s="120">
        <v>0</v>
      </c>
      <c r="N86" s="120">
        <v>0</v>
      </c>
      <c r="O86" s="120">
        <v>0</v>
      </c>
      <c r="P86" s="120">
        <v>0</v>
      </c>
      <c r="Q86" s="120">
        <v>0</v>
      </c>
      <c r="R86" s="120">
        <v>0</v>
      </c>
      <c r="S86" s="120">
        <v>0</v>
      </c>
      <c r="T86" s="120">
        <v>0</v>
      </c>
      <c r="U86" s="120">
        <v>0</v>
      </c>
      <c r="V86" s="120">
        <v>0</v>
      </c>
      <c r="W86" s="120">
        <v>0</v>
      </c>
      <c r="X86" s="120">
        <v>0</v>
      </c>
      <c r="Y86" s="120">
        <v>0</v>
      </c>
    </row>
    <row r="87" spans="3:42" x14ac:dyDescent="0.25">
      <c r="C87" s="88"/>
      <c r="F87" t="s">
        <v>197</v>
      </c>
      <c r="G87" s="28" t="s">
        <v>283</v>
      </c>
      <c r="H87" s="209"/>
      <c r="I87" s="209"/>
      <c r="J87" s="120">
        <v>1.093</v>
      </c>
      <c r="K87" s="120">
        <v>1.093</v>
      </c>
      <c r="L87" s="120">
        <v>1.093</v>
      </c>
      <c r="M87" s="120">
        <v>1.093</v>
      </c>
      <c r="N87" s="120">
        <v>1.093</v>
      </c>
      <c r="O87" s="120">
        <v>1.0589999999999999</v>
      </c>
      <c r="P87" s="120">
        <v>1.036</v>
      </c>
      <c r="Q87" s="120">
        <v>1.093</v>
      </c>
      <c r="R87" s="120">
        <v>-1.093</v>
      </c>
      <c r="S87" s="120">
        <v>-1.0589999999999999</v>
      </c>
      <c r="T87" s="120">
        <v>-1.093</v>
      </c>
      <c r="U87" s="120">
        <v>-1.093</v>
      </c>
      <c r="V87" s="120">
        <v>-1.0589999999999999</v>
      </c>
      <c r="W87" s="120">
        <v>-1.0589999999999999</v>
      </c>
      <c r="X87" s="120">
        <v>0</v>
      </c>
      <c r="Y87" s="120">
        <v>0</v>
      </c>
    </row>
    <row r="88" spans="3:42" x14ac:dyDescent="0.25">
      <c r="C88" s="88"/>
      <c r="F88" t="s">
        <v>198</v>
      </c>
      <c r="G88" s="28" t="s">
        <v>283</v>
      </c>
      <c r="H88" s="209"/>
      <c r="I88" s="209"/>
      <c r="J88" s="120">
        <v>1.093</v>
      </c>
      <c r="K88" s="120">
        <v>1.093</v>
      </c>
      <c r="L88" s="120">
        <v>1.093</v>
      </c>
      <c r="M88" s="120">
        <v>1.093</v>
      </c>
      <c r="N88" s="120">
        <v>1.093</v>
      </c>
      <c r="O88" s="120">
        <v>1.0589999999999999</v>
      </c>
      <c r="P88" s="120">
        <v>0</v>
      </c>
      <c r="Q88" s="120">
        <v>1.093</v>
      </c>
      <c r="R88" s="120">
        <v>-1.093</v>
      </c>
      <c r="S88" s="120">
        <v>0</v>
      </c>
      <c r="T88" s="120">
        <v>-1.093</v>
      </c>
      <c r="U88" s="120">
        <v>-1.093</v>
      </c>
      <c r="V88" s="120">
        <v>0</v>
      </c>
      <c r="W88" s="120">
        <v>0</v>
      </c>
      <c r="X88" s="120">
        <v>0</v>
      </c>
      <c r="Y88" s="120">
        <v>0</v>
      </c>
    </row>
    <row r="89" spans="3:42" x14ac:dyDescent="0.25">
      <c r="C89" s="88"/>
      <c r="F89" t="s">
        <v>199</v>
      </c>
      <c r="G89" s="28" t="s">
        <v>283</v>
      </c>
      <c r="H89" s="209"/>
      <c r="I89" s="209"/>
      <c r="J89" s="120">
        <v>1.093</v>
      </c>
      <c r="K89" s="120">
        <v>1.093</v>
      </c>
      <c r="L89" s="120">
        <v>1.093</v>
      </c>
      <c r="M89" s="120">
        <v>1.093</v>
      </c>
      <c r="N89" s="120">
        <v>1.093</v>
      </c>
      <c r="O89" s="120">
        <v>0</v>
      </c>
      <c r="P89" s="120">
        <v>0</v>
      </c>
      <c r="Q89" s="120">
        <v>1.093</v>
      </c>
      <c r="R89" s="120">
        <v>0</v>
      </c>
      <c r="S89" s="120">
        <v>0</v>
      </c>
      <c r="T89" s="120">
        <v>0</v>
      </c>
      <c r="U89" s="120">
        <v>0</v>
      </c>
      <c r="V89" s="120">
        <v>0</v>
      </c>
      <c r="W89" s="120">
        <v>0</v>
      </c>
      <c r="X89" s="120">
        <v>0</v>
      </c>
      <c r="Y89" s="120">
        <v>0</v>
      </c>
    </row>
    <row r="90" spans="3:42" x14ac:dyDescent="0.25">
      <c r="C90" s="88"/>
      <c r="F90" t="s">
        <v>376</v>
      </c>
      <c r="G90" s="28" t="s">
        <v>283</v>
      </c>
      <c r="J90" s="79"/>
      <c r="K90" s="79"/>
      <c r="L90" s="79"/>
      <c r="M90" s="79"/>
      <c r="N90" s="79"/>
      <c r="O90" s="79"/>
      <c r="P90" s="79"/>
      <c r="Q90" s="79"/>
      <c r="R90" s="79"/>
      <c r="S90" s="79"/>
      <c r="T90" s="79"/>
      <c r="U90" s="79"/>
      <c r="V90" s="79"/>
      <c r="W90" s="79"/>
      <c r="X90" s="79"/>
      <c r="Y90" s="79"/>
    </row>
    <row r="91" spans="3:42" x14ac:dyDescent="0.25">
      <c r="C91" s="88"/>
      <c r="F91" s="37" t="s">
        <v>377</v>
      </c>
      <c r="G91" s="67" t="s">
        <v>283</v>
      </c>
      <c r="H91" s="37"/>
      <c r="I91" s="37"/>
      <c r="J91" s="81"/>
      <c r="K91" s="81"/>
      <c r="L91" s="81"/>
      <c r="M91" s="81"/>
      <c r="N91" s="81"/>
      <c r="O91" s="81"/>
      <c r="P91" s="81"/>
      <c r="Q91" s="81"/>
      <c r="R91" s="81"/>
      <c r="S91" s="81"/>
      <c r="T91" s="81"/>
      <c r="U91" s="81"/>
      <c r="V91" s="81"/>
      <c r="W91" s="81"/>
      <c r="X91" s="81"/>
      <c r="Y91" s="81"/>
    </row>
    <row r="92" spans="3:42" x14ac:dyDescent="0.25">
      <c r="C92" s="88"/>
      <c r="F92" s="2"/>
    </row>
    <row r="93" spans="3:42" x14ac:dyDescent="0.25">
      <c r="D93"/>
      <c r="E93" s="32" t="s">
        <v>120</v>
      </c>
      <c r="H93" s="14"/>
      <c r="J93" s="63"/>
      <c r="L93" s="63"/>
      <c r="AP93" s="3"/>
    </row>
    <row r="94" spans="3:42" x14ac:dyDescent="0.25">
      <c r="C94" s="32"/>
      <c r="D94"/>
      <c r="E94"/>
      <c r="F94" s="23" t="s">
        <v>191</v>
      </c>
      <c r="G94" s="23" t="s">
        <v>167</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25">
      <c r="C95" s="32"/>
      <c r="D95"/>
      <c r="E95"/>
      <c r="F95" t="s">
        <v>192</v>
      </c>
      <c r="G95" t="s">
        <v>167</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25">
      <c r="C96" s="32"/>
      <c r="D96"/>
      <c r="E96"/>
      <c r="F96" t="s">
        <v>193</v>
      </c>
      <c r="G96" t="s">
        <v>167</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25">
      <c r="C97" s="32"/>
      <c r="D97"/>
      <c r="E97"/>
      <c r="F97" t="s">
        <v>194</v>
      </c>
      <c r="G97" t="s">
        <v>167</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25">
      <c r="C98" s="32"/>
      <c r="D98"/>
      <c r="E98"/>
      <c r="F98" t="s">
        <v>195</v>
      </c>
      <c r="G98" t="s">
        <v>167</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25">
      <c r="C99" s="32"/>
      <c r="D99"/>
      <c r="E99"/>
      <c r="F99" t="s">
        <v>196</v>
      </c>
      <c r="G99" t="s">
        <v>167</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25">
      <c r="C100" s="32"/>
      <c r="D100"/>
      <c r="E100"/>
      <c r="F100" t="s">
        <v>197</v>
      </c>
      <c r="G100" t="s">
        <v>167</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25">
      <c r="C101" s="32"/>
      <c r="D101"/>
      <c r="E101"/>
      <c r="F101" t="s">
        <v>198</v>
      </c>
      <c r="G101" t="s">
        <v>167</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25">
      <c r="C102" s="32"/>
      <c r="D102"/>
      <c r="E102"/>
      <c r="F102" s="37" t="s">
        <v>199</v>
      </c>
      <c r="G102" s="37" t="s">
        <v>167</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25">
      <c r="C103" s="88"/>
      <c r="D103"/>
      <c r="F103" s="2"/>
    </row>
    <row r="104" spans="3:42" x14ac:dyDescent="0.25">
      <c r="E104" s="32" t="s">
        <v>695</v>
      </c>
    </row>
    <row r="105" spans="3:42" x14ac:dyDescent="0.25">
      <c r="C105" s="88"/>
      <c r="F105" s="23" t="s">
        <v>189</v>
      </c>
      <c r="G105" s="23" t="s">
        <v>167</v>
      </c>
      <c r="H105" s="208"/>
      <c r="I105" s="208"/>
      <c r="J105" s="65"/>
      <c r="K105" s="65"/>
      <c r="L105" s="65"/>
      <c r="M105" s="65"/>
      <c r="N105" s="65"/>
      <c r="O105" s="65"/>
      <c r="P105" s="65"/>
      <c r="Q105" s="65"/>
      <c r="R105" s="65"/>
      <c r="S105" s="65"/>
      <c r="T105" s="65"/>
      <c r="U105" s="65"/>
      <c r="V105" s="65"/>
      <c r="W105" s="65"/>
      <c r="X105" s="65"/>
      <c r="Y105" s="65"/>
    </row>
    <row r="106" spans="3:42" x14ac:dyDescent="0.25">
      <c r="C106" s="88"/>
      <c r="F106" t="s">
        <v>191</v>
      </c>
      <c r="G106" t="s">
        <v>167</v>
      </c>
      <c r="H106" s="209"/>
      <c r="I106" s="209"/>
      <c r="J106" s="66"/>
      <c r="K106" s="66"/>
      <c r="L106" s="66"/>
      <c r="M106" s="66"/>
      <c r="N106" s="66"/>
      <c r="O106" s="66"/>
      <c r="P106" s="66"/>
      <c r="Q106" s="66"/>
      <c r="R106" s="66"/>
      <c r="S106" s="66"/>
      <c r="T106" s="66"/>
      <c r="U106" s="66"/>
      <c r="V106" s="66"/>
      <c r="W106" s="66"/>
      <c r="X106" s="66"/>
      <c r="Y106" s="66"/>
    </row>
    <row r="107" spans="3:42" x14ac:dyDescent="0.25">
      <c r="C107" s="88"/>
      <c r="F107" t="s">
        <v>192</v>
      </c>
      <c r="G107" t="s">
        <v>167</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25">
      <c r="C108" s="88"/>
      <c r="F108" t="s">
        <v>193</v>
      </c>
      <c r="G108" t="s">
        <v>167</v>
      </c>
      <c r="H108" s="209"/>
      <c r="I108" s="209"/>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row>
    <row r="109" spans="3:42" x14ac:dyDescent="0.25">
      <c r="C109" s="88"/>
      <c r="F109" t="s">
        <v>194</v>
      </c>
      <c r="G109" t="s">
        <v>167</v>
      </c>
      <c r="H109" s="209"/>
      <c r="I109" s="209"/>
      <c r="J109" s="25">
        <v>6.4338235294117696E-3</v>
      </c>
      <c r="K109" s="25">
        <v>6.4338235294117696E-3</v>
      </c>
      <c r="L109" s="25">
        <v>6.4338235294117696E-3</v>
      </c>
      <c r="M109" s="25">
        <v>6.4338235294117696E-3</v>
      </c>
      <c r="N109" s="25">
        <v>6.4338235294117696E-3</v>
      </c>
      <c r="O109" s="25">
        <v>6.4338235294117696E-3</v>
      </c>
      <c r="P109" s="25">
        <v>1.16978609625668E-2</v>
      </c>
      <c r="Q109" s="25">
        <v>6.4338235294117696E-3</v>
      </c>
      <c r="R109" s="25">
        <v>6.4338235294117696E-3</v>
      </c>
      <c r="S109" s="25">
        <v>6.4338235294117696E-3</v>
      </c>
      <c r="T109" s="25">
        <v>6.4338235294117696E-3</v>
      </c>
      <c r="U109" s="25">
        <v>6.4338235294117696E-3</v>
      </c>
      <c r="V109" s="25">
        <v>6.4338235294117696E-3</v>
      </c>
      <c r="W109" s="25">
        <v>6.4338235294117696E-3</v>
      </c>
      <c r="X109" s="25">
        <v>1.16978609625668E-2</v>
      </c>
      <c r="Y109" s="25">
        <v>1.16978609625668E-2</v>
      </c>
    </row>
    <row r="110" spans="3:42" x14ac:dyDescent="0.25">
      <c r="C110" s="88"/>
      <c r="F110" t="s">
        <v>195</v>
      </c>
      <c r="G110" t="s">
        <v>167</v>
      </c>
      <c r="H110" s="209"/>
      <c r="I110" s="209"/>
      <c r="J110" s="25">
        <v>4.1617122473246101E-3</v>
      </c>
      <c r="K110" s="25">
        <v>4.1617122473246101E-3</v>
      </c>
      <c r="L110" s="25">
        <v>4.1617122473246101E-3</v>
      </c>
      <c r="M110" s="25">
        <v>4.1617122473246101E-3</v>
      </c>
      <c r="N110" s="25">
        <v>4.1617122473246101E-3</v>
      </c>
      <c r="O110" s="25">
        <v>4.1617122473246101E-3</v>
      </c>
      <c r="P110" s="25">
        <v>7.56674954059021E-3</v>
      </c>
      <c r="Q110" s="25">
        <v>4.1617122473246101E-3</v>
      </c>
      <c r="R110" s="25">
        <v>4.1617122473246101E-3</v>
      </c>
      <c r="S110" s="25">
        <v>4.1617122473246101E-3</v>
      </c>
      <c r="T110" s="25">
        <v>4.1617122473246101E-3</v>
      </c>
      <c r="U110" s="25">
        <v>4.1617122473246101E-3</v>
      </c>
      <c r="V110" s="25">
        <v>4.1617122473246101E-3</v>
      </c>
      <c r="W110" s="25">
        <v>4.1617122473246101E-3</v>
      </c>
      <c r="X110" s="25">
        <v>7.56674954059021E-3</v>
      </c>
      <c r="Y110" s="25">
        <v>7.56674954059021E-3</v>
      </c>
    </row>
    <row r="111" spans="3:42" x14ac:dyDescent="0.25">
      <c r="C111" s="88"/>
      <c r="F111" t="s">
        <v>196</v>
      </c>
      <c r="G111" t="s">
        <v>167</v>
      </c>
      <c r="H111" s="209"/>
      <c r="I111" s="209"/>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row>
    <row r="112" spans="3:42" x14ac:dyDescent="0.25">
      <c r="C112" s="88"/>
      <c r="F112" t="s">
        <v>197</v>
      </c>
      <c r="G112" t="s">
        <v>167</v>
      </c>
      <c r="H112" s="209"/>
      <c r="I112" s="209"/>
      <c r="J112" s="25">
        <v>0.42522380337704002</v>
      </c>
      <c r="K112" s="25">
        <v>0.42522380337704002</v>
      </c>
      <c r="L112" s="25">
        <v>0.42522380337704002</v>
      </c>
      <c r="M112" s="25">
        <v>0.42522380337704002</v>
      </c>
      <c r="N112" s="25">
        <v>0.42522380337704002</v>
      </c>
      <c r="O112" s="25">
        <v>0.42522380337704002</v>
      </c>
      <c r="P112" s="25">
        <v>0.38896884219615702</v>
      </c>
      <c r="Q112" s="25">
        <v>0.42522380337704002</v>
      </c>
      <c r="R112" s="25">
        <v>0.42522380337704002</v>
      </c>
      <c r="S112" s="25">
        <v>0.42522380337704002</v>
      </c>
      <c r="T112" s="25">
        <v>0.42522380337704002</v>
      </c>
      <c r="U112" s="25">
        <v>0.42522380337704002</v>
      </c>
      <c r="V112" s="25">
        <v>0.42522380337704002</v>
      </c>
      <c r="W112" s="25">
        <v>0.42522380337704002</v>
      </c>
      <c r="X112" s="25">
        <v>0.38896884219615702</v>
      </c>
      <c r="Y112" s="25">
        <v>0.38896884219615702</v>
      </c>
    </row>
    <row r="113" spans="2:27" x14ac:dyDescent="0.25">
      <c r="C113" s="88"/>
      <c r="F113" t="s">
        <v>198</v>
      </c>
      <c r="G113" t="s">
        <v>167</v>
      </c>
      <c r="H113" s="209"/>
      <c r="I113" s="209"/>
      <c r="J113" s="25">
        <v>0.78260869565217395</v>
      </c>
      <c r="K113" s="25">
        <v>0.78260869565217395</v>
      </c>
      <c r="L113" s="25">
        <v>0.78260869565217395</v>
      </c>
      <c r="M113" s="25">
        <v>0.78260869565217395</v>
      </c>
      <c r="N113" s="25">
        <v>0.78260869565217395</v>
      </c>
      <c r="O113" s="25">
        <v>0.78260869565217395</v>
      </c>
      <c r="P113" s="25">
        <v>0</v>
      </c>
      <c r="Q113" s="25">
        <v>0.78260869565217395</v>
      </c>
      <c r="R113" s="25">
        <v>0.78260869565217395</v>
      </c>
      <c r="S113" s="25">
        <v>0.78260869565217395</v>
      </c>
      <c r="T113" s="25">
        <v>0.78260869565217395</v>
      </c>
      <c r="U113" s="25">
        <v>0.78260869565217395</v>
      </c>
      <c r="V113" s="25">
        <v>0.78260869565217395</v>
      </c>
      <c r="W113" s="25">
        <v>0.78260869565217395</v>
      </c>
      <c r="X113" s="25">
        <v>0</v>
      </c>
      <c r="Y113" s="25">
        <v>0</v>
      </c>
    </row>
    <row r="114" spans="2:27" x14ac:dyDescent="0.25">
      <c r="C114" s="88"/>
      <c r="F114" t="s">
        <v>199</v>
      </c>
      <c r="G114" t="s">
        <v>167</v>
      </c>
      <c r="H114" s="209"/>
      <c r="I114" s="209"/>
      <c r="J114" s="25">
        <v>0.966742252456538</v>
      </c>
      <c r="K114" s="25">
        <v>0.966742252456538</v>
      </c>
      <c r="L114" s="25">
        <v>0.966742252456538</v>
      </c>
      <c r="M114" s="25">
        <v>0.966742252456538</v>
      </c>
      <c r="N114" s="25">
        <v>0.966742252456538</v>
      </c>
      <c r="O114" s="25">
        <v>0</v>
      </c>
      <c r="P114" s="25">
        <v>0</v>
      </c>
      <c r="Q114" s="25">
        <v>0.966742252456538</v>
      </c>
      <c r="R114" s="25">
        <v>0.966742252456538</v>
      </c>
      <c r="S114" s="25">
        <v>0</v>
      </c>
      <c r="T114" s="25">
        <v>0.966742252456538</v>
      </c>
      <c r="U114" s="25">
        <v>0.966742252456538</v>
      </c>
      <c r="V114" s="25">
        <v>0</v>
      </c>
      <c r="W114" s="25">
        <v>0</v>
      </c>
      <c r="X114" s="25">
        <v>0</v>
      </c>
      <c r="Y114" s="25">
        <v>0</v>
      </c>
    </row>
    <row r="115" spans="2:27" x14ac:dyDescent="0.25">
      <c r="C115" s="88"/>
      <c r="F115" t="s">
        <v>376</v>
      </c>
      <c r="G115" t="s">
        <v>167</v>
      </c>
      <c r="J115" s="66"/>
      <c r="K115" s="66"/>
      <c r="L115" s="66"/>
      <c r="M115" s="66"/>
      <c r="N115" s="66"/>
      <c r="O115" s="66"/>
      <c r="P115" s="66"/>
      <c r="Q115" s="66"/>
      <c r="R115" s="66"/>
      <c r="S115" s="66"/>
      <c r="T115" s="66"/>
      <c r="U115" s="66"/>
      <c r="V115" s="66"/>
      <c r="W115" s="66"/>
      <c r="X115" s="66"/>
      <c r="Y115" s="66"/>
    </row>
    <row r="116" spans="2:27" x14ac:dyDescent="0.25">
      <c r="C116" s="88"/>
      <c r="F116" s="37" t="s">
        <v>377</v>
      </c>
      <c r="G116" s="37" t="s">
        <v>167</v>
      </c>
      <c r="H116" s="37"/>
      <c r="I116" s="37"/>
      <c r="J116" s="68"/>
      <c r="K116" s="68"/>
      <c r="L116" s="68"/>
      <c r="M116" s="68"/>
      <c r="N116" s="68"/>
      <c r="O116" s="68"/>
      <c r="P116" s="68"/>
      <c r="Q116" s="68"/>
      <c r="R116" s="68"/>
      <c r="S116" s="68"/>
      <c r="T116" s="68"/>
      <c r="U116" s="68"/>
      <c r="V116" s="68"/>
      <c r="W116" s="68"/>
      <c r="X116" s="68"/>
      <c r="Y116" s="68"/>
    </row>
    <row r="117" spans="2:27" x14ac:dyDescent="0.25">
      <c r="C117" s="88"/>
      <c r="D117"/>
      <c r="F117" s="2"/>
    </row>
    <row r="118" spans="2:27" x14ac:dyDescent="0.25">
      <c r="D118"/>
      <c r="E118" s="32" t="s">
        <v>696</v>
      </c>
      <c r="F118" s="2"/>
      <c r="I118" t="s">
        <v>154</v>
      </c>
      <c r="AA118" t="s">
        <v>697</v>
      </c>
    </row>
    <row r="119" spans="2:27" x14ac:dyDescent="0.25">
      <c r="D119"/>
      <c r="E119" s="29" t="s">
        <v>698</v>
      </c>
      <c r="F119" s="2"/>
    </row>
    <row r="120" spans="2:27" x14ac:dyDescent="0.25">
      <c r="D120"/>
      <c r="E120" s="29" t="s">
        <v>699</v>
      </c>
      <c r="F120" s="2"/>
    </row>
    <row r="121" spans="2:27" x14ac:dyDescent="0.25">
      <c r="D121"/>
      <c r="F121" s="23" t="s">
        <v>700</v>
      </c>
      <c r="G121" s="23" t="s">
        <v>673</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25">
      <c r="D122"/>
      <c r="F122" t="s">
        <v>701</v>
      </c>
      <c r="G122" t="s">
        <v>673</v>
      </c>
      <c r="J122" s="169">
        <f>'Fixed inputs'!J137</f>
        <v>0</v>
      </c>
      <c r="K122" s="169">
        <f>'Fixed inputs'!K137</f>
        <v>0</v>
      </c>
      <c r="L122" s="169">
        <f>'Fixed inputs'!L137</f>
        <v>0</v>
      </c>
      <c r="M122" s="169">
        <f>'Fixed inputs'!M137</f>
        <v>0</v>
      </c>
      <c r="N122" s="169">
        <f>'Fixed inputs'!N137</f>
        <v>1</v>
      </c>
      <c r="O122" s="169">
        <f>'Fixed inputs'!O137</f>
        <v>1</v>
      </c>
      <c r="P122" s="169">
        <f>'Fixed inputs'!P137</f>
        <v>1</v>
      </c>
      <c r="Q122" s="169">
        <f>'Fixed inputs'!Q137</f>
        <v>0</v>
      </c>
      <c r="R122" s="169">
        <f>'Fixed inputs'!R137</f>
        <v>0</v>
      </c>
      <c r="S122" s="169">
        <f>'Fixed inputs'!S137</f>
        <v>0</v>
      </c>
      <c r="T122" s="169">
        <f>'Fixed inputs'!T137</f>
        <v>0</v>
      </c>
      <c r="U122" s="169">
        <f>'Fixed inputs'!U137</f>
        <v>0</v>
      </c>
      <c r="V122" s="169">
        <f>'Fixed inputs'!V137</f>
        <v>0</v>
      </c>
      <c r="W122" s="169">
        <f>'Fixed inputs'!W137</f>
        <v>0</v>
      </c>
      <c r="X122" s="169">
        <f>'Fixed inputs'!X137</f>
        <v>0</v>
      </c>
      <c r="Y122" s="169">
        <f>'Fixed inputs'!Y137</f>
        <v>0</v>
      </c>
    </row>
    <row r="123" spans="2:27" x14ac:dyDescent="0.25">
      <c r="D123"/>
      <c r="F123" s="37" t="s">
        <v>227</v>
      </c>
      <c r="G123" s="37" t="s">
        <v>673</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25">
      <c r="C124" s="88"/>
    </row>
    <row r="125" spans="2:27" x14ac:dyDescent="0.25">
      <c r="B125" s="30" t="s">
        <v>702</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25">
      <c r="C126" s="88"/>
    </row>
    <row r="127" spans="2:27" x14ac:dyDescent="0.25">
      <c r="B127" s="203"/>
      <c r="C127" s="29" t="s">
        <v>703</v>
      </c>
      <c r="D127"/>
      <c r="E127"/>
    </row>
    <row r="128" spans="2:27" x14ac:dyDescent="0.25">
      <c r="C128" s="88"/>
    </row>
    <row r="129" spans="3:27" x14ac:dyDescent="0.25">
      <c r="C129" s="31" t="str">
        <f ca="1">INDEX('Version control'!$H$34:$H$57,MATCH($A$1,'Version control'!$F$34:$F$57,0),1)&amp;"-B: Capacity-based charge elements (to be split between capacity &amp; fixed charges)"</f>
        <v>Section 113-B: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25">
      <c r="C131" s="88"/>
      <c r="E131" s="32" t="s">
        <v>621</v>
      </c>
      <c r="I131" t="s">
        <v>154</v>
      </c>
      <c r="AA131" t="s">
        <v>704</v>
      </c>
    </row>
    <row r="132" spans="3:27" x14ac:dyDescent="0.25">
      <c r="C132" s="88"/>
      <c r="F132" s="23" t="s">
        <v>189</v>
      </c>
      <c r="G132" s="23" t="s">
        <v>271</v>
      </c>
      <c r="H132" s="23"/>
      <c r="I132" s="23"/>
      <c r="J132" s="83"/>
      <c r="K132" s="83"/>
      <c r="L132" s="83"/>
      <c r="M132" s="83"/>
      <c r="N132" s="83"/>
      <c r="O132" s="83"/>
      <c r="P132" s="83"/>
      <c r="Q132" s="83"/>
      <c r="R132" s="83"/>
      <c r="S132" s="83"/>
      <c r="T132" s="83"/>
      <c r="U132" s="83"/>
      <c r="V132" s="83"/>
      <c r="W132" s="83"/>
      <c r="X132" s="83"/>
      <c r="Y132" s="83"/>
    </row>
    <row r="133" spans="3:27" x14ac:dyDescent="0.25">
      <c r="C133" s="88"/>
      <c r="F133" t="s">
        <v>191</v>
      </c>
      <c r="G133" t="s">
        <v>271</v>
      </c>
      <c r="J133" s="79"/>
      <c r="K133" s="79"/>
      <c r="L133" s="79"/>
      <c r="M133" s="79"/>
      <c r="N133" s="79"/>
      <c r="O133" s="79"/>
      <c r="P133" s="79"/>
      <c r="Q133" s="79"/>
      <c r="R133" s="79"/>
      <c r="S133" s="79"/>
      <c r="T133" s="79"/>
      <c r="U133" s="79"/>
      <c r="V133" s="79"/>
      <c r="W133" s="79"/>
      <c r="X133" s="79"/>
      <c r="Y133" s="79"/>
    </row>
    <row r="134" spans="3:27" x14ac:dyDescent="0.25">
      <c r="C134" s="88"/>
      <c r="F134" t="s">
        <v>192</v>
      </c>
      <c r="G134" t="s">
        <v>271</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0</v>
      </c>
      <c r="Q134" s="98">
        <f t="shared" ref="Q134" si="3">hundred*Q95*$H53*Q82/$H39*(1-Q107)/days_in_year/(1+$H25)*PowerFactor</f>
        <v>0</v>
      </c>
      <c r="R134" s="79"/>
      <c r="S134" s="79"/>
      <c r="T134" s="79"/>
      <c r="U134" s="79"/>
      <c r="V134" s="79"/>
      <c r="W134" s="79"/>
      <c r="X134" s="79"/>
      <c r="Y134" s="79"/>
    </row>
    <row r="135" spans="3:27" x14ac:dyDescent="0.25">
      <c r="C135" s="88"/>
      <c r="F135" t="s">
        <v>193</v>
      </c>
      <c r="G135" t="s">
        <v>271</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25">
      <c r="C136" s="88"/>
      <c r="F136" t="s">
        <v>194</v>
      </c>
      <c r="G136" t="s">
        <v>271</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0.39400805360850011</v>
      </c>
      <c r="Q136" s="98">
        <f t="shared" ref="Q136" si="11">hundred*Q97*$H55*Q84/$H41*(1-Q109)/days_in_year/(1+$H27)*PowerFactor</f>
        <v>0</v>
      </c>
      <c r="R136" s="79"/>
      <c r="S136" s="79"/>
      <c r="T136" s="79"/>
      <c r="U136" s="79"/>
      <c r="V136" s="79"/>
      <c r="W136" s="79"/>
      <c r="X136" s="79"/>
      <c r="Y136" s="79"/>
    </row>
    <row r="137" spans="3:27" x14ac:dyDescent="0.25">
      <c r="C137" s="88"/>
      <c r="F137" t="s">
        <v>195</v>
      </c>
      <c r="G137" t="s">
        <v>271</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1.7899359590788655</v>
      </c>
      <c r="Q137" s="98">
        <f t="shared" ref="Q137" si="15">hundred*Q98*$H56*Q85/$H42*(1-Q110)/days_in_year/(1+$H28)*PowerFactor</f>
        <v>0</v>
      </c>
      <c r="R137" s="79"/>
      <c r="S137" s="79"/>
      <c r="T137" s="79"/>
      <c r="U137" s="79"/>
      <c r="V137" s="79"/>
      <c r="W137" s="79"/>
      <c r="X137" s="79"/>
      <c r="Y137" s="79"/>
    </row>
    <row r="138" spans="3:27" x14ac:dyDescent="0.25">
      <c r="C138" s="88"/>
      <c r="F138" t="s">
        <v>196</v>
      </c>
      <c r="G138" t="s">
        <v>271</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0</v>
      </c>
      <c r="Q138" s="98">
        <f t="shared" ref="Q138" si="19">hundred*Q99*$H57*Q86/$H43*(1-Q111)/days_in_year/(1+$H29)*PowerFactor</f>
        <v>0</v>
      </c>
      <c r="R138" s="79"/>
      <c r="S138" s="79"/>
      <c r="T138" s="79"/>
      <c r="U138" s="79"/>
      <c r="V138" s="79"/>
      <c r="W138" s="79"/>
      <c r="X138" s="79"/>
      <c r="Y138" s="79"/>
    </row>
    <row r="139" spans="3:27" x14ac:dyDescent="0.25">
      <c r="C139" s="88"/>
      <c r="F139" t="s">
        <v>197</v>
      </c>
      <c r="G139" t="s">
        <v>271</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0.5910825195076318</v>
      </c>
      <c r="O139" s="98">
        <f t="shared" si="22"/>
        <v>2.863478445373203</v>
      </c>
      <c r="P139" s="98">
        <f t="shared" si="22"/>
        <v>2.9779835593506112</v>
      </c>
      <c r="Q139" s="98">
        <f t="shared" ref="Q139" si="23">hundred*Q100*$H58*Q87/$H44*(1-Q112)/days_in_year/(1+$H30)*PowerFactor</f>
        <v>0</v>
      </c>
      <c r="R139" s="79"/>
      <c r="S139" s="79"/>
      <c r="T139" s="79"/>
      <c r="U139" s="79"/>
      <c r="V139" s="79"/>
      <c r="W139" s="79"/>
      <c r="X139" s="79"/>
      <c r="Y139" s="79"/>
    </row>
    <row r="140" spans="3:27" x14ac:dyDescent="0.25">
      <c r="C140" s="88"/>
      <c r="F140" t="s">
        <v>198</v>
      </c>
      <c r="G140" t="s">
        <v>271</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0.27067540585763467</v>
      </c>
      <c r="O140" s="98">
        <f t="shared" si="26"/>
        <v>0.26225549387304214</v>
      </c>
      <c r="P140" s="98">
        <f t="shared" si="26"/>
        <v>0</v>
      </c>
      <c r="Q140" s="98">
        <f t="shared" ref="Q140" si="27">hundred*Q101*$H59*Q88/$H45*(1-Q113)/days_in_year/(1+$H31)*PowerFactor</f>
        <v>0</v>
      </c>
      <c r="R140" s="79"/>
      <c r="S140" s="79"/>
      <c r="T140" s="79"/>
      <c r="U140" s="79"/>
      <c r="V140" s="79"/>
      <c r="W140" s="79"/>
      <c r="X140" s="79"/>
      <c r="Y140" s="79"/>
    </row>
    <row r="141" spans="3:27" x14ac:dyDescent="0.25">
      <c r="C141" s="88"/>
      <c r="F141" t="s">
        <v>199</v>
      </c>
      <c r="G141" t="s">
        <v>271</v>
      </c>
      <c r="J141" s="98">
        <f t="shared" ref="J141:K141" si="28">hundred*J102*$H60*J89/$H46*(1-J114)/days_in_year/(1+$H32)*PowerFactor</f>
        <v>9.0150086990667275E-2</v>
      </c>
      <c r="K141" s="98">
        <f t="shared" si="28"/>
        <v>9.0150086990667275E-2</v>
      </c>
      <c r="L141" s="98">
        <f t="shared" ref="L141:M141" si="29">hundred*L102*$H60*L89/$H46*(1-L114)/days_in_year/(1+$H32)*PowerFactor</f>
        <v>9.0150086990667275E-2</v>
      </c>
      <c r="M141" s="98">
        <f t="shared" si="29"/>
        <v>9.0150086990667275E-2</v>
      </c>
      <c r="N141" s="98">
        <f t="shared" ref="N141:P141" si="30">hundred*N102*$H60*N89/$H46*(1-N114)/days_in_year/(1+$H32)*PowerFactor</f>
        <v>9.0150086990667275E-2</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25">
      <c r="C142" s="88"/>
      <c r="D142"/>
      <c r="F142" t="s">
        <v>376</v>
      </c>
      <c r="G142" t="s">
        <v>271</v>
      </c>
      <c r="J142" s="79"/>
      <c r="K142" s="79"/>
      <c r="L142" s="79"/>
      <c r="M142" s="79"/>
      <c r="N142" s="79"/>
      <c r="O142" s="79"/>
      <c r="P142" s="79"/>
      <c r="Q142" s="79"/>
      <c r="R142" s="79"/>
      <c r="S142" s="79"/>
      <c r="T142" s="79"/>
      <c r="U142" s="79"/>
      <c r="V142" s="79"/>
      <c r="W142" s="79"/>
      <c r="X142" s="79"/>
      <c r="Y142" s="79"/>
    </row>
    <row r="143" spans="3:27" x14ac:dyDescent="0.25">
      <c r="C143" s="88"/>
      <c r="D143"/>
      <c r="F143" s="37" t="s">
        <v>377</v>
      </c>
      <c r="G143" s="37" t="s">
        <v>271</v>
      </c>
      <c r="H143" s="37"/>
      <c r="I143" s="37"/>
      <c r="J143" s="81"/>
      <c r="K143" s="81"/>
      <c r="L143" s="81"/>
      <c r="M143" s="81"/>
      <c r="N143" s="81"/>
      <c r="O143" s="81"/>
      <c r="P143" s="81"/>
      <c r="Q143" s="81"/>
      <c r="R143" s="81"/>
      <c r="S143" s="81"/>
      <c r="T143" s="81"/>
      <c r="U143" s="81"/>
      <c r="V143" s="81"/>
      <c r="W143" s="81"/>
      <c r="X143" s="81"/>
      <c r="Y143" s="81"/>
    </row>
    <row r="144" spans="3:27" x14ac:dyDescent="0.25">
      <c r="C144" s="88"/>
      <c r="D144"/>
      <c r="J144" s="98"/>
      <c r="K144" s="98"/>
      <c r="L144" s="98"/>
      <c r="M144" s="98"/>
      <c r="N144" s="98"/>
      <c r="O144" s="98"/>
      <c r="P144" s="98"/>
      <c r="Q144" s="98"/>
      <c r="R144" s="98"/>
      <c r="S144" s="98"/>
      <c r="T144" s="98"/>
      <c r="U144" s="98"/>
      <c r="V144" s="98"/>
      <c r="W144" s="98"/>
      <c r="X144" s="98"/>
      <c r="Y144" s="98"/>
    </row>
    <row r="145" spans="3:27" x14ac:dyDescent="0.25">
      <c r="C145" s="88"/>
      <c r="E145" s="32" t="s">
        <v>622</v>
      </c>
      <c r="J145" s="98"/>
      <c r="K145" s="98"/>
      <c r="L145" s="98"/>
      <c r="M145" s="98"/>
      <c r="N145" s="98"/>
      <c r="O145" s="98"/>
      <c r="P145" s="98"/>
      <c r="Q145" s="98"/>
      <c r="R145" s="98"/>
      <c r="S145" s="98"/>
      <c r="T145" s="98"/>
      <c r="U145" s="98"/>
      <c r="V145" s="98"/>
      <c r="W145" s="98"/>
      <c r="X145" s="98"/>
      <c r="Y145" s="98"/>
    </row>
    <row r="146" spans="3:27" x14ac:dyDescent="0.25">
      <c r="C146" s="88"/>
      <c r="F146" s="23" t="s">
        <v>189</v>
      </c>
      <c r="G146" s="23" t="s">
        <v>271</v>
      </c>
      <c r="H146" s="23"/>
      <c r="I146" s="23"/>
      <c r="J146" s="126">
        <f t="shared" ref="J146:K146" si="32">hundred*J94*$H65*J80/$H37/days_in_year/(1+$H23)*PowerFactor</f>
        <v>0</v>
      </c>
      <c r="K146" s="126">
        <f t="shared" si="32"/>
        <v>0</v>
      </c>
      <c r="L146" s="126">
        <f t="shared" ref="L146:M146" si="33">hundred*L94*$H65*L80/$H37/days_in_year/(1+$H23)*PowerFactor</f>
        <v>0</v>
      </c>
      <c r="M146" s="126">
        <f t="shared" si="33"/>
        <v>0</v>
      </c>
      <c r="N146" s="126">
        <f t="shared" ref="N146:P146" si="34">hundred*N94*$H65*N80/$H37/days_in_year/(1+$H23)*PowerFactor</f>
        <v>0</v>
      </c>
      <c r="O146" s="126">
        <f t="shared" si="34"/>
        <v>0</v>
      </c>
      <c r="P146" s="126">
        <f t="shared" si="34"/>
        <v>0</v>
      </c>
      <c r="Q146" s="126">
        <f t="shared" ref="Q146" si="35">hundred*Q94*$H65*Q80/$H37/days_in_year/(1+$H23)*PowerFactor</f>
        <v>0</v>
      </c>
      <c r="R146" s="83"/>
      <c r="S146" s="83"/>
      <c r="T146" s="83"/>
      <c r="U146" s="83"/>
      <c r="V146" s="83"/>
      <c r="W146" s="83"/>
      <c r="X146" s="83"/>
      <c r="Y146" s="83"/>
    </row>
    <row r="147" spans="3:27" x14ac:dyDescent="0.25">
      <c r="C147" s="88"/>
      <c r="F147" t="s">
        <v>191</v>
      </c>
      <c r="G147" t="s">
        <v>271</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25">
      <c r="C148" s="88"/>
      <c r="F148" t="s">
        <v>192</v>
      </c>
      <c r="G148" t="s">
        <v>271</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0</v>
      </c>
      <c r="Q148" s="98">
        <f t="shared" ref="Q148" si="43">hundred*Q95*$H67*Q82/$H39/days_in_year/(1+$H25)*PowerFactor</f>
        <v>0</v>
      </c>
      <c r="R148" s="79"/>
      <c r="S148" s="79"/>
      <c r="T148" s="79"/>
      <c r="U148" s="79"/>
      <c r="V148" s="79"/>
      <c r="W148" s="79"/>
      <c r="X148" s="79"/>
      <c r="Y148" s="79"/>
    </row>
    <row r="149" spans="3:27" x14ac:dyDescent="0.25">
      <c r="C149" s="88"/>
      <c r="F149" t="s">
        <v>193</v>
      </c>
      <c r="G149" t="s">
        <v>271</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25">
      <c r="C150" s="88"/>
      <c r="F150" t="s">
        <v>194</v>
      </c>
      <c r="G150" t="s">
        <v>271</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0.33531950359733592</v>
      </c>
      <c r="Q150" s="98">
        <f t="shared" ref="Q150" si="51">hundred*Q97*$H69*Q84/$H41/days_in_year/(1+$H27)*PowerFactor</f>
        <v>0</v>
      </c>
      <c r="R150" s="79"/>
      <c r="S150" s="79"/>
      <c r="T150" s="79"/>
      <c r="U150" s="79"/>
      <c r="V150" s="79"/>
      <c r="W150" s="79"/>
      <c r="X150" s="79"/>
      <c r="Y150" s="79"/>
    </row>
    <row r="151" spans="3:27" x14ac:dyDescent="0.25">
      <c r="C151" s="88"/>
      <c r="F151" t="s">
        <v>195</v>
      </c>
      <c r="G151" t="s">
        <v>271</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1.51697923976191</v>
      </c>
      <c r="Q151" s="98">
        <f t="shared" ref="Q151" si="55">hundred*Q98*$H70*Q85/$H42/days_in_year/(1+$H28)*PowerFactor</f>
        <v>0</v>
      </c>
      <c r="R151" s="79"/>
      <c r="S151" s="79"/>
      <c r="T151" s="79"/>
      <c r="U151" s="79"/>
      <c r="V151" s="79"/>
      <c r="W151" s="79"/>
      <c r="X151" s="79"/>
      <c r="Y151" s="79"/>
    </row>
    <row r="152" spans="3:27" x14ac:dyDescent="0.25">
      <c r="C152" s="88"/>
      <c r="F152" t="s">
        <v>196</v>
      </c>
      <c r="G152" t="s">
        <v>271</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0</v>
      </c>
      <c r="Q152" s="98">
        <f t="shared" ref="Q152" si="59">hundred*Q99*$H71*Q86/$H43/days_in_year/(1+$H29)*PowerFactor</f>
        <v>0</v>
      </c>
      <c r="R152" s="79"/>
      <c r="S152" s="79"/>
      <c r="T152" s="79"/>
      <c r="U152" s="79"/>
      <c r="V152" s="79"/>
      <c r="W152" s="79"/>
      <c r="X152" s="79"/>
      <c r="Y152" s="79"/>
    </row>
    <row r="153" spans="3:27" x14ac:dyDescent="0.25">
      <c r="C153" s="88"/>
      <c r="F153" t="s">
        <v>197</v>
      </c>
      <c r="G153" t="s">
        <v>271</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0.86495356396541878</v>
      </c>
      <c r="O153" s="98">
        <f t="shared" si="62"/>
        <v>4.1902370733731864</v>
      </c>
      <c r="P153" s="98">
        <f t="shared" si="62"/>
        <v>4.099230980183779</v>
      </c>
      <c r="Q153" s="98">
        <f t="shared" ref="Q153" si="63">hundred*Q100*$H72*Q87/$H44/days_in_year/(1+$H30)*PowerFactor</f>
        <v>0</v>
      </c>
      <c r="R153" s="79"/>
      <c r="S153" s="79"/>
      <c r="T153" s="79"/>
      <c r="U153" s="79"/>
      <c r="V153" s="79"/>
      <c r="W153" s="79"/>
      <c r="X153" s="79"/>
      <c r="Y153" s="79"/>
    </row>
    <row r="154" spans="3:27" x14ac:dyDescent="0.25">
      <c r="C154" s="88"/>
      <c r="F154" t="s">
        <v>198</v>
      </c>
      <c r="G154" t="s">
        <v>271</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1.0472493011845847</v>
      </c>
      <c r="O154" s="98">
        <f t="shared" si="66"/>
        <v>1.0146724702236736</v>
      </c>
      <c r="P154" s="98">
        <f t="shared" si="66"/>
        <v>0</v>
      </c>
      <c r="Q154" s="98">
        <f t="shared" ref="Q154" si="67">hundred*Q101*$H73*Q88/$H45/days_in_year/(1+$H31)*PowerFactor</f>
        <v>0</v>
      </c>
      <c r="R154" s="79"/>
      <c r="S154" s="79"/>
      <c r="T154" s="79"/>
      <c r="U154" s="79"/>
      <c r="V154" s="79"/>
      <c r="W154" s="79"/>
      <c r="X154" s="79"/>
      <c r="Y154" s="79"/>
    </row>
    <row r="155" spans="3:27" x14ac:dyDescent="0.25">
      <c r="C155" s="88"/>
      <c r="F155" t="s">
        <v>199</v>
      </c>
      <c r="G155" t="s">
        <v>271</v>
      </c>
      <c r="J155" s="98">
        <f t="shared" ref="J155:K155" si="68">hundred*J102*$H74*J89/$H46/days_in_year/(1+$H32)*PowerFactor</f>
        <v>2.2799050930396323</v>
      </c>
      <c r="K155" s="98">
        <f t="shared" si="68"/>
        <v>2.2799050930396323</v>
      </c>
      <c r="L155" s="98">
        <f t="shared" ref="L155:M155" si="69">hundred*L102*$H74*L89/$H46/days_in_year/(1+$H32)*PowerFactor</f>
        <v>2.2799050930396323</v>
      </c>
      <c r="M155" s="98">
        <f t="shared" si="69"/>
        <v>2.2799050930396323</v>
      </c>
      <c r="N155" s="98">
        <f t="shared" ref="N155:P155" si="70">hundred*N102*$H74*N89/$H46/days_in_year/(1+$H32)*PowerFactor</f>
        <v>2.2799050930396323</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25">
      <c r="C156" s="88"/>
      <c r="D156"/>
      <c r="F156" t="s">
        <v>376</v>
      </c>
      <c r="G156" t="s">
        <v>271</v>
      </c>
      <c r="J156" s="79"/>
      <c r="K156" s="79"/>
      <c r="L156" s="79"/>
      <c r="M156" s="79"/>
      <c r="N156" s="79"/>
      <c r="O156" s="79"/>
      <c r="P156" s="79"/>
      <c r="Q156" s="79"/>
      <c r="R156" s="79"/>
      <c r="S156" s="79"/>
      <c r="T156" s="79"/>
      <c r="U156" s="79"/>
      <c r="V156" s="79"/>
      <c r="W156" s="79"/>
      <c r="X156" s="79"/>
      <c r="Y156" s="79"/>
    </row>
    <row r="157" spans="3:27" x14ac:dyDescent="0.25">
      <c r="C157" s="88"/>
      <c r="D157"/>
      <c r="F157" s="37" t="s">
        <v>377</v>
      </c>
      <c r="G157" s="37" t="s">
        <v>271</v>
      </c>
      <c r="H157" s="37"/>
      <c r="I157" s="37"/>
      <c r="J157" s="81"/>
      <c r="K157" s="81"/>
      <c r="L157" s="81"/>
      <c r="M157" s="81"/>
      <c r="N157" s="81"/>
      <c r="O157" s="81"/>
      <c r="P157" s="81"/>
      <c r="Q157" s="81"/>
      <c r="R157" s="81"/>
      <c r="S157" s="81"/>
      <c r="T157" s="81"/>
      <c r="U157" s="81"/>
      <c r="V157" s="81"/>
      <c r="W157" s="81"/>
      <c r="X157" s="81"/>
      <c r="Y157" s="81"/>
    </row>
    <row r="158" spans="3:27" x14ac:dyDescent="0.25">
      <c r="C158" s="88"/>
      <c r="J158" s="98"/>
      <c r="K158" s="98"/>
      <c r="L158" s="98"/>
      <c r="M158" s="98"/>
      <c r="N158" s="98"/>
      <c r="O158" s="98"/>
      <c r="P158" s="98"/>
      <c r="Q158" s="98"/>
      <c r="R158" s="98"/>
      <c r="S158" s="98"/>
      <c r="T158" s="98"/>
      <c r="U158" s="98"/>
      <c r="V158" s="98"/>
      <c r="W158" s="98"/>
      <c r="X158" s="98"/>
      <c r="Y158" s="98"/>
    </row>
    <row r="159" spans="3:27" x14ac:dyDescent="0.25">
      <c r="C159" s="31" t="str">
        <f ca="1">INDEX('Version control'!$H$34:$H$57,MATCH($A$1,'Version control'!$F$34:$F$57,0),1)&amp;"-C: Exceeded capacity-based charge elements"</f>
        <v>Section 113-C: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25">
      <c r="J160" s="89"/>
      <c r="K160" s="89"/>
      <c r="L160" s="89"/>
      <c r="M160" s="89"/>
      <c r="N160" s="89"/>
      <c r="O160" s="89"/>
      <c r="P160" s="89"/>
      <c r="Q160" s="89"/>
      <c r="R160" s="89"/>
      <c r="S160" s="89"/>
      <c r="T160" s="89"/>
      <c r="U160" s="89"/>
      <c r="V160" s="89"/>
      <c r="W160" s="89"/>
      <c r="X160" s="89"/>
      <c r="Y160" s="89"/>
    </row>
    <row r="161" spans="3:25" x14ac:dyDescent="0.25">
      <c r="C161" s="88"/>
      <c r="E161" s="32" t="s">
        <v>621</v>
      </c>
      <c r="J161" s="89"/>
      <c r="K161" s="89"/>
      <c r="L161" s="89"/>
      <c r="M161" s="89"/>
      <c r="N161" s="89"/>
      <c r="O161" s="89"/>
      <c r="P161" s="89"/>
      <c r="Q161" s="89"/>
      <c r="R161" s="89"/>
      <c r="S161" s="89"/>
      <c r="T161" s="89"/>
      <c r="U161" s="89"/>
      <c r="V161" s="89"/>
      <c r="W161" s="89"/>
      <c r="X161" s="89"/>
      <c r="Y161" s="89"/>
    </row>
    <row r="162" spans="3:25" x14ac:dyDescent="0.25">
      <c r="C162" s="88"/>
      <c r="F162" s="23" t="s">
        <v>189</v>
      </c>
      <c r="G162" s="23" t="s">
        <v>271</v>
      </c>
      <c r="H162" s="23"/>
      <c r="I162" s="23"/>
      <c r="J162" s="83"/>
      <c r="K162" s="83"/>
      <c r="L162" s="83"/>
      <c r="M162" s="83"/>
      <c r="N162" s="83"/>
      <c r="O162" s="83"/>
      <c r="P162" s="83"/>
      <c r="Q162" s="83"/>
      <c r="R162" s="83"/>
      <c r="S162" s="83"/>
      <c r="T162" s="83"/>
      <c r="U162" s="83"/>
      <c r="V162" s="83"/>
      <c r="W162" s="83"/>
      <c r="X162" s="83"/>
      <c r="Y162" s="83"/>
    </row>
    <row r="163" spans="3:25" x14ac:dyDescent="0.25">
      <c r="C163" s="88"/>
      <c r="F163" t="s">
        <v>191</v>
      </c>
      <c r="G163" t="s">
        <v>271</v>
      </c>
      <c r="J163" s="79"/>
      <c r="K163" s="79"/>
      <c r="L163" s="79"/>
      <c r="M163" s="79"/>
      <c r="N163" s="79"/>
      <c r="O163" s="79"/>
      <c r="P163" s="79"/>
      <c r="Q163" s="79"/>
      <c r="R163" s="79"/>
      <c r="S163" s="79"/>
      <c r="T163" s="79"/>
      <c r="U163" s="79"/>
      <c r="V163" s="79"/>
      <c r="W163" s="79"/>
      <c r="X163" s="79"/>
      <c r="Y163" s="79"/>
    </row>
    <row r="164" spans="3:25" x14ac:dyDescent="0.25">
      <c r="C164" s="88"/>
      <c r="F164" t="s">
        <v>192</v>
      </c>
      <c r="G164" t="s">
        <v>271</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0</v>
      </c>
      <c r="Q164" s="98">
        <f t="shared" ref="Q164" si="75">hundred*Q95*$H53*Q82/$H39/days_in_year/(1+$H25)*PowerFactor</f>
        <v>0</v>
      </c>
      <c r="R164" s="79"/>
      <c r="S164" s="79"/>
      <c r="T164" s="79"/>
      <c r="U164" s="79"/>
      <c r="V164" s="79"/>
      <c r="W164" s="79"/>
      <c r="X164" s="79"/>
      <c r="Y164" s="79"/>
    </row>
    <row r="165" spans="3:25" x14ac:dyDescent="0.25">
      <c r="C165" s="88"/>
      <c r="F165" t="s">
        <v>193</v>
      </c>
      <c r="G165" t="s">
        <v>271</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25">
      <c r="C166" s="88"/>
      <c r="F166" t="s">
        <v>194</v>
      </c>
      <c r="G166" t="s">
        <v>271</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0.39867165924810011</v>
      </c>
      <c r="Q166" s="98">
        <f t="shared" ref="Q166" si="83">hundred*Q97*$H55*Q84/$H41/days_in_year/(1+$H27)*PowerFactor</f>
        <v>0</v>
      </c>
      <c r="R166" s="79"/>
      <c r="S166" s="79"/>
      <c r="T166" s="79"/>
      <c r="U166" s="79"/>
      <c r="V166" s="79"/>
      <c r="W166" s="79"/>
      <c r="X166" s="79"/>
      <c r="Y166" s="79"/>
    </row>
    <row r="167" spans="3:25" x14ac:dyDescent="0.25">
      <c r="C167" s="88"/>
      <c r="F167" t="s">
        <v>195</v>
      </c>
      <c r="G167" t="s">
        <v>271</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1.8035832215922651</v>
      </c>
      <c r="Q167" s="98">
        <f t="shared" ref="Q167" si="87">hundred*Q98*$H56*Q85/$H42/days_in_year/(1+$H28)*PowerFactor</f>
        <v>0</v>
      </c>
      <c r="R167" s="79"/>
      <c r="S167" s="79"/>
      <c r="T167" s="79"/>
      <c r="U167" s="79"/>
      <c r="V167" s="79"/>
      <c r="W167" s="79"/>
      <c r="X167" s="79"/>
      <c r="Y167" s="79"/>
    </row>
    <row r="168" spans="3:25" x14ac:dyDescent="0.25">
      <c r="C168" s="88"/>
      <c r="F168" t="s">
        <v>196</v>
      </c>
      <c r="G168" t="s">
        <v>271</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v>
      </c>
      <c r="Q168" s="98">
        <f t="shared" ref="Q168" si="91">hundred*Q99*$H57*Q86/$H43/days_in_year/(1+$H29)*PowerFactor</f>
        <v>0</v>
      </c>
      <c r="R168" s="79"/>
      <c r="S168" s="79"/>
      <c r="T168" s="79"/>
      <c r="U168" s="79"/>
      <c r="V168" s="79"/>
      <c r="W168" s="79"/>
      <c r="X168" s="79"/>
      <c r="Y168" s="79"/>
    </row>
    <row r="169" spans="3:25" x14ac:dyDescent="0.25">
      <c r="C169" s="88"/>
      <c r="F169" t="s">
        <v>197</v>
      </c>
      <c r="G169" t="s">
        <v>271</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1.0283698646194432</v>
      </c>
      <c r="O169" s="98">
        <f t="shared" si="94"/>
        <v>4.9819015856907161</v>
      </c>
      <c r="P169" s="98">
        <f t="shared" si="94"/>
        <v>4.873701645680435</v>
      </c>
      <c r="Q169" s="98">
        <f t="shared" ref="Q169" si="95">hundred*Q100*$H58*Q87/$H44/days_in_year/(1+$H30)*PowerFactor</f>
        <v>0</v>
      </c>
      <c r="R169" s="79"/>
      <c r="S169" s="79"/>
      <c r="T169" s="79"/>
      <c r="U169" s="79"/>
      <c r="V169" s="79"/>
      <c r="W169" s="79"/>
      <c r="X169" s="79"/>
      <c r="Y169" s="79"/>
    </row>
    <row r="170" spans="3:25" x14ac:dyDescent="0.25">
      <c r="C170" s="88"/>
      <c r="F170" t="s">
        <v>198</v>
      </c>
      <c r="G170" t="s">
        <v>271</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1.2451068669451195</v>
      </c>
      <c r="O170" s="98">
        <f t="shared" si="98"/>
        <v>1.2063752718159941</v>
      </c>
      <c r="P170" s="98">
        <f t="shared" si="98"/>
        <v>0</v>
      </c>
      <c r="Q170" s="98">
        <f t="shared" ref="Q170" si="99">hundred*Q101*$H59*Q88/$H45/days_in_year/(1+$H31)*PowerFactor</f>
        <v>0</v>
      </c>
      <c r="R170" s="79"/>
      <c r="S170" s="79"/>
      <c r="T170" s="79"/>
      <c r="U170" s="79"/>
      <c r="V170" s="79"/>
      <c r="W170" s="79"/>
      <c r="X170" s="79"/>
      <c r="Y170" s="79"/>
    </row>
    <row r="171" spans="3:25" x14ac:dyDescent="0.25">
      <c r="C171" s="88"/>
      <c r="F171" t="s">
        <v>199</v>
      </c>
      <c r="G171" t="s">
        <v>271</v>
      </c>
      <c r="J171" s="98">
        <f t="shared" ref="J171:K171" si="100">hundred*J102*$H60*J89/$H46/days_in_year/(1+$H32)*PowerFactor</f>
        <v>2.710649206560277</v>
      </c>
      <c r="K171" s="98">
        <f t="shared" si="100"/>
        <v>2.710649206560277</v>
      </c>
      <c r="L171" s="98">
        <f t="shared" ref="L171:M171" si="101">hundred*L102*$H60*L89/$H46/days_in_year/(1+$H32)*PowerFactor</f>
        <v>2.710649206560277</v>
      </c>
      <c r="M171" s="98">
        <f t="shared" si="101"/>
        <v>2.710649206560277</v>
      </c>
      <c r="N171" s="98">
        <f t="shared" ref="N171:P171" si="102">hundred*N102*$H60*N89/$H46/days_in_year/(1+$H32)*PowerFactor</f>
        <v>2.710649206560277</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25">
      <c r="C172" s="88"/>
      <c r="F172" t="s">
        <v>376</v>
      </c>
      <c r="G172" t="s">
        <v>271</v>
      </c>
      <c r="J172" s="79"/>
      <c r="K172" s="79"/>
      <c r="L172" s="79"/>
      <c r="M172" s="79"/>
      <c r="N172" s="79"/>
      <c r="O172" s="79"/>
      <c r="P172" s="79"/>
      <c r="Q172" s="79"/>
      <c r="R172" s="79"/>
      <c r="S172" s="79"/>
      <c r="T172" s="79"/>
      <c r="U172" s="79"/>
      <c r="V172" s="79"/>
      <c r="W172" s="79"/>
      <c r="X172" s="79"/>
      <c r="Y172" s="79"/>
    </row>
    <row r="173" spans="3:25" x14ac:dyDescent="0.25">
      <c r="C173" s="88"/>
      <c r="F173" s="37" t="s">
        <v>377</v>
      </c>
      <c r="G173" s="37" t="s">
        <v>271</v>
      </c>
      <c r="H173" s="37"/>
      <c r="I173" s="37"/>
      <c r="J173" s="81"/>
      <c r="K173" s="81"/>
      <c r="L173" s="81"/>
      <c r="M173" s="81"/>
      <c r="N173" s="81"/>
      <c r="O173" s="81"/>
      <c r="P173" s="81"/>
      <c r="Q173" s="81"/>
      <c r="R173" s="81"/>
      <c r="S173" s="81"/>
      <c r="T173" s="81"/>
      <c r="U173" s="81"/>
      <c r="V173" s="81"/>
      <c r="W173" s="81"/>
      <c r="X173" s="81"/>
      <c r="Y173" s="81"/>
    </row>
    <row r="174" spans="3:25" x14ac:dyDescent="0.25">
      <c r="C174" s="88"/>
      <c r="D174"/>
      <c r="J174" s="89"/>
      <c r="K174" s="89"/>
      <c r="L174" s="89"/>
      <c r="M174" s="89"/>
      <c r="N174" s="89"/>
      <c r="O174" s="89"/>
      <c r="P174" s="89"/>
      <c r="Q174" s="89"/>
      <c r="R174" s="89"/>
      <c r="S174" s="89"/>
      <c r="T174" s="89"/>
      <c r="U174" s="89"/>
      <c r="V174" s="89"/>
      <c r="W174" s="89"/>
      <c r="X174" s="89"/>
      <c r="Y174" s="89"/>
    </row>
    <row r="175" spans="3:25" x14ac:dyDescent="0.25">
      <c r="C175" s="88"/>
      <c r="E175" s="32" t="s">
        <v>622</v>
      </c>
      <c r="J175" s="89"/>
      <c r="K175" s="89"/>
      <c r="L175" s="89"/>
      <c r="M175" s="89"/>
      <c r="N175" s="89"/>
      <c r="O175" s="89"/>
      <c r="P175" s="89"/>
      <c r="Q175" s="89"/>
      <c r="R175" s="89"/>
      <c r="S175" s="89"/>
      <c r="T175" s="89"/>
      <c r="U175" s="89"/>
      <c r="V175" s="89"/>
      <c r="W175" s="89"/>
      <c r="X175" s="89"/>
      <c r="Y175" s="89"/>
    </row>
    <row r="176" spans="3:25" x14ac:dyDescent="0.25">
      <c r="C176" s="88"/>
      <c r="F176" s="23" t="s">
        <v>189</v>
      </c>
      <c r="G176" s="23" t="s">
        <v>271</v>
      </c>
      <c r="H176" s="23"/>
      <c r="I176" s="23"/>
      <c r="J176" s="126">
        <f t="shared" ref="J176:K176" si="104">hundred*J94*$H65*J80/$H37/days_in_year/(1+$H23)*PowerFactor</f>
        <v>0</v>
      </c>
      <c r="K176" s="126">
        <f t="shared" si="104"/>
        <v>0</v>
      </c>
      <c r="L176" s="126">
        <f t="shared" ref="L176:M176" si="105">hundred*L94*$H65*L80/$H37/days_in_year/(1+$H23)*PowerFactor</f>
        <v>0</v>
      </c>
      <c r="M176" s="126">
        <f t="shared" si="105"/>
        <v>0</v>
      </c>
      <c r="N176" s="126">
        <f t="shared" ref="N176:P176" si="106">hundred*N94*$H65*N80/$H37/days_in_year/(1+$H23)*PowerFactor</f>
        <v>0</v>
      </c>
      <c r="O176" s="126">
        <f t="shared" si="106"/>
        <v>0</v>
      </c>
      <c r="P176" s="126">
        <f t="shared" si="106"/>
        <v>0</v>
      </c>
      <c r="Q176" s="126">
        <f t="shared" ref="Q176" si="107">hundred*Q94*$H65*Q80/$H37/days_in_year/(1+$H23)*PowerFactor</f>
        <v>0</v>
      </c>
      <c r="R176" s="83"/>
      <c r="S176" s="83"/>
      <c r="T176" s="83"/>
      <c r="U176" s="83"/>
      <c r="V176" s="83"/>
      <c r="W176" s="83"/>
      <c r="X176" s="83"/>
      <c r="Y176" s="83"/>
    </row>
    <row r="177" spans="3:27" x14ac:dyDescent="0.25">
      <c r="C177" s="88"/>
      <c r="F177" t="s">
        <v>191</v>
      </c>
      <c r="G177" t="s">
        <v>271</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25">
      <c r="C178" s="88"/>
      <c r="F178" t="s">
        <v>192</v>
      </c>
      <c r="G178" t="s">
        <v>271</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0</v>
      </c>
      <c r="Q178" s="98">
        <f t="shared" ref="Q178" si="115">hundred*Q95*$H67*Q82/$H39/days_in_year/(1+$H25)*PowerFactor</f>
        <v>0</v>
      </c>
      <c r="R178" s="79"/>
      <c r="S178" s="79"/>
      <c r="T178" s="79"/>
      <c r="U178" s="79"/>
      <c r="V178" s="79"/>
      <c r="W178" s="79"/>
      <c r="X178" s="79"/>
      <c r="Y178" s="79"/>
    </row>
    <row r="179" spans="3:27" x14ac:dyDescent="0.25">
      <c r="C179" s="88"/>
      <c r="F179" t="s">
        <v>193</v>
      </c>
      <c r="G179" t="s">
        <v>271</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25">
      <c r="C180" s="88"/>
      <c r="F180" t="s">
        <v>194</v>
      </c>
      <c r="G180" t="s">
        <v>271</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0.33531950359733592</v>
      </c>
      <c r="Q180" s="98">
        <f t="shared" ref="Q180" si="123">hundred*Q97*$H69*Q84/$H41/days_in_year/(1+$H27)*PowerFactor</f>
        <v>0</v>
      </c>
      <c r="R180" s="79"/>
      <c r="S180" s="79"/>
      <c r="T180" s="79"/>
      <c r="U180" s="79"/>
      <c r="V180" s="79"/>
      <c r="W180" s="79"/>
      <c r="X180" s="79"/>
      <c r="Y180" s="79"/>
    </row>
    <row r="181" spans="3:27" x14ac:dyDescent="0.25">
      <c r="C181" s="88"/>
      <c r="F181" t="s">
        <v>195</v>
      </c>
      <c r="G181" t="s">
        <v>271</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1.51697923976191</v>
      </c>
      <c r="Q181" s="98">
        <f t="shared" ref="Q181" si="127">hundred*Q98*$H70*Q85/$H42/days_in_year/(1+$H28)*PowerFactor</f>
        <v>0</v>
      </c>
      <c r="R181" s="79"/>
      <c r="S181" s="79"/>
      <c r="T181" s="79"/>
      <c r="U181" s="79"/>
      <c r="V181" s="79"/>
      <c r="W181" s="79"/>
      <c r="X181" s="79"/>
      <c r="Y181" s="79"/>
    </row>
    <row r="182" spans="3:27" x14ac:dyDescent="0.25">
      <c r="C182" s="88"/>
      <c r="F182" t="s">
        <v>196</v>
      </c>
      <c r="G182" t="s">
        <v>271</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0</v>
      </c>
      <c r="Q182" s="98">
        <f t="shared" ref="Q182" si="131">hundred*Q99*$H71*Q86/$H43/days_in_year/(1+$H29)*PowerFactor</f>
        <v>0</v>
      </c>
      <c r="R182" s="79"/>
      <c r="S182" s="79"/>
      <c r="T182" s="79"/>
      <c r="U182" s="79"/>
      <c r="V182" s="79"/>
      <c r="W182" s="79"/>
      <c r="X182" s="79"/>
      <c r="Y182" s="79"/>
    </row>
    <row r="183" spans="3:27" x14ac:dyDescent="0.25">
      <c r="C183" s="88"/>
      <c r="F183" t="s">
        <v>197</v>
      </c>
      <c r="G183" t="s">
        <v>271</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0.86495356396541878</v>
      </c>
      <c r="O183" s="98">
        <f t="shared" si="134"/>
        <v>4.1902370733731864</v>
      </c>
      <c r="P183" s="98">
        <f t="shared" si="134"/>
        <v>4.099230980183779</v>
      </c>
      <c r="Q183" s="98">
        <f t="shared" ref="Q183" si="135">hundred*Q100*$H72*Q87/$H44/days_in_year/(1+$H30)*PowerFactor</f>
        <v>0</v>
      </c>
      <c r="R183" s="79"/>
      <c r="S183" s="79"/>
      <c r="T183" s="79"/>
      <c r="U183" s="79"/>
      <c r="V183" s="79"/>
      <c r="W183" s="79"/>
      <c r="X183" s="79"/>
      <c r="Y183" s="79"/>
    </row>
    <row r="184" spans="3:27" x14ac:dyDescent="0.25">
      <c r="C184" s="88"/>
      <c r="F184" t="s">
        <v>198</v>
      </c>
      <c r="G184" t="s">
        <v>271</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1.0472493011845847</v>
      </c>
      <c r="O184" s="98">
        <f t="shared" si="138"/>
        <v>1.0146724702236736</v>
      </c>
      <c r="P184" s="98">
        <f t="shared" si="138"/>
        <v>0</v>
      </c>
      <c r="Q184" s="98">
        <f t="shared" ref="Q184" si="139">hundred*Q101*$H73*Q88/$H45/days_in_year/(1+$H31)*PowerFactor</f>
        <v>0</v>
      </c>
      <c r="R184" s="79"/>
      <c r="S184" s="79"/>
      <c r="T184" s="79"/>
      <c r="U184" s="79"/>
      <c r="V184" s="79"/>
      <c r="W184" s="79"/>
      <c r="X184" s="79"/>
      <c r="Y184" s="79"/>
    </row>
    <row r="185" spans="3:27" x14ac:dyDescent="0.25">
      <c r="C185" s="88"/>
      <c r="F185" t="s">
        <v>199</v>
      </c>
      <c r="G185" t="s">
        <v>271</v>
      </c>
      <c r="J185" s="98">
        <f t="shared" ref="J185:K185" si="140">hundred*J102*$H74*J89/$H46/days_in_year/(1+$H32)*PowerFactor</f>
        <v>2.2799050930396323</v>
      </c>
      <c r="K185" s="98">
        <f t="shared" si="140"/>
        <v>2.2799050930396323</v>
      </c>
      <c r="L185" s="98">
        <f t="shared" ref="L185:M185" si="141">hundred*L102*$H74*L89/$H46/days_in_year/(1+$H32)*PowerFactor</f>
        <v>2.2799050930396323</v>
      </c>
      <c r="M185" s="98">
        <f t="shared" si="141"/>
        <v>2.2799050930396323</v>
      </c>
      <c r="N185" s="98">
        <f t="shared" ref="N185:P185" si="142">hundred*N102*$H74*N89/$H46/days_in_year/(1+$H32)*PowerFactor</f>
        <v>2.2799050930396323</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25">
      <c r="C186" s="88"/>
      <c r="F186" t="s">
        <v>376</v>
      </c>
      <c r="G186" t="s">
        <v>271</v>
      </c>
      <c r="J186" s="79"/>
      <c r="K186" s="79"/>
      <c r="L186" s="79"/>
      <c r="M186" s="79"/>
      <c r="N186" s="79"/>
      <c r="O186" s="79"/>
      <c r="P186" s="79"/>
      <c r="Q186" s="79"/>
      <c r="R186" s="79"/>
      <c r="S186" s="79"/>
      <c r="T186" s="79"/>
      <c r="U186" s="79"/>
      <c r="V186" s="79"/>
      <c r="W186" s="79"/>
      <c r="X186" s="79"/>
      <c r="Y186" s="79"/>
    </row>
    <row r="187" spans="3:27" x14ac:dyDescent="0.25">
      <c r="C187" s="88"/>
      <c r="F187" s="37" t="s">
        <v>377</v>
      </c>
      <c r="G187" s="37" t="s">
        <v>271</v>
      </c>
      <c r="H187" s="37"/>
      <c r="I187" s="37"/>
      <c r="J187" s="81"/>
      <c r="K187" s="81"/>
      <c r="L187" s="81"/>
      <c r="M187" s="81"/>
      <c r="N187" s="81"/>
      <c r="O187" s="81"/>
      <c r="P187" s="81"/>
      <c r="Q187" s="81"/>
      <c r="R187" s="81"/>
      <c r="S187" s="81"/>
      <c r="T187" s="81"/>
      <c r="U187" s="81"/>
      <c r="V187" s="81"/>
      <c r="W187" s="81"/>
      <c r="X187" s="81"/>
      <c r="Y187" s="81"/>
    </row>
    <row r="188" spans="3:27" x14ac:dyDescent="0.25">
      <c r="C188" s="88"/>
      <c r="J188" s="89"/>
      <c r="K188" s="89"/>
      <c r="L188" s="89"/>
      <c r="M188" s="89"/>
      <c r="N188" s="89"/>
      <c r="O188" s="89"/>
      <c r="P188" s="89"/>
      <c r="Q188" s="89"/>
      <c r="R188" s="89"/>
      <c r="S188" s="89"/>
      <c r="T188" s="89"/>
      <c r="U188" s="89"/>
      <c r="V188" s="89"/>
      <c r="W188" s="89"/>
      <c r="X188" s="89"/>
      <c r="Y188" s="89"/>
    </row>
    <row r="189" spans="3:27" x14ac:dyDescent="0.25">
      <c r="C189" s="31" t="str">
        <f ca="1">INDEX('Version control'!$H$34:$H$57,MATCH($A$1,'Version control'!$F$34:$F$57,0),1)&amp;"-D: Capacity charges for eligible customers, by network level"</f>
        <v>Section 113-D: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25">
      <c r="D190" s="32"/>
      <c r="E190" s="32"/>
      <c r="I190" t="s">
        <v>154</v>
      </c>
      <c r="J190" s="89"/>
      <c r="K190" s="89"/>
      <c r="L190" s="89"/>
      <c r="M190" s="89"/>
      <c r="N190" s="89"/>
      <c r="O190" s="89"/>
      <c r="P190" s="89"/>
      <c r="Q190" s="89"/>
      <c r="R190" s="89"/>
      <c r="S190" s="89"/>
      <c r="T190" s="89"/>
      <c r="U190" s="89"/>
      <c r="V190" s="89"/>
      <c r="W190" s="89"/>
      <c r="X190" s="89"/>
      <c r="Y190" s="89"/>
      <c r="AA190" t="s">
        <v>705</v>
      </c>
    </row>
    <row r="191" spans="3:27" x14ac:dyDescent="0.25">
      <c r="C191" s="88"/>
      <c r="D191"/>
      <c r="E191" s="32" t="s">
        <v>621</v>
      </c>
      <c r="J191" s="89"/>
      <c r="K191" s="89"/>
      <c r="L191" s="89"/>
      <c r="M191" s="89"/>
      <c r="N191" s="89"/>
      <c r="O191" s="89"/>
      <c r="P191" s="89"/>
      <c r="Q191" s="89"/>
      <c r="R191" s="89"/>
      <c r="S191" s="89"/>
      <c r="T191" s="89"/>
      <c r="U191" s="89"/>
      <c r="V191" s="89"/>
      <c r="W191" s="89"/>
      <c r="X191" s="89"/>
      <c r="Y191" s="89"/>
    </row>
    <row r="192" spans="3:27" x14ac:dyDescent="0.25">
      <c r="C192" s="88"/>
      <c r="D192"/>
      <c r="F192" s="23" t="s">
        <v>189</v>
      </c>
      <c r="G192" s="23" t="s">
        <v>271</v>
      </c>
      <c r="H192" s="23"/>
      <c r="I192" s="23"/>
      <c r="J192" s="83"/>
      <c r="K192" s="83"/>
      <c r="L192" s="83"/>
      <c r="M192" s="83"/>
      <c r="N192" s="83"/>
      <c r="O192" s="83"/>
      <c r="P192" s="83"/>
      <c r="Q192" s="83"/>
      <c r="R192" s="83"/>
      <c r="S192" s="83"/>
      <c r="T192" s="83"/>
      <c r="U192" s="83"/>
      <c r="V192" s="83"/>
      <c r="W192" s="83"/>
      <c r="X192" s="83"/>
      <c r="Y192" s="83"/>
    </row>
    <row r="193" spans="3:25" x14ac:dyDescent="0.25">
      <c r="C193" s="88"/>
      <c r="D193"/>
      <c r="F193" t="s">
        <v>191</v>
      </c>
      <c r="G193" t="s">
        <v>271</v>
      </c>
      <c r="J193" s="79"/>
      <c r="K193" s="79"/>
      <c r="L193" s="79"/>
      <c r="M193" s="79"/>
      <c r="N193" s="79"/>
      <c r="O193" s="79"/>
      <c r="P193" s="79"/>
      <c r="Q193" s="79"/>
      <c r="R193" s="79"/>
      <c r="S193" s="79"/>
      <c r="T193" s="79"/>
      <c r="U193" s="79"/>
      <c r="V193" s="79"/>
      <c r="W193" s="79"/>
      <c r="X193" s="79"/>
      <c r="Y193" s="79"/>
    </row>
    <row r="194" spans="3:25" x14ac:dyDescent="0.25">
      <c r="C194" s="88"/>
      <c r="D194"/>
      <c r="F194" t="s">
        <v>192</v>
      </c>
      <c r="G194" t="s">
        <v>271</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0</v>
      </c>
      <c r="Q194" s="98">
        <f t="shared" ref="Q194" si="147">Q$121 * Q134</f>
        <v>0</v>
      </c>
      <c r="R194" s="79"/>
      <c r="S194" s="79"/>
      <c r="T194" s="79"/>
      <c r="U194" s="79"/>
      <c r="V194" s="79"/>
      <c r="W194" s="79"/>
      <c r="X194" s="79"/>
      <c r="Y194" s="79"/>
    </row>
    <row r="195" spans="3:25" x14ac:dyDescent="0.25">
      <c r="C195" s="88"/>
      <c r="D195"/>
      <c r="F195" t="s">
        <v>193</v>
      </c>
      <c r="G195" t="s">
        <v>271</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25">
      <c r="C196" s="88"/>
      <c r="D196"/>
      <c r="F196" t="s">
        <v>194</v>
      </c>
      <c r="G196" t="s">
        <v>271</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0.39400805360850011</v>
      </c>
      <c r="Q196" s="98">
        <f t="shared" ref="Q196" si="155">Q$121 * Q136</f>
        <v>0</v>
      </c>
      <c r="R196" s="79"/>
      <c r="S196" s="79"/>
      <c r="T196" s="79"/>
      <c r="U196" s="79"/>
      <c r="V196" s="79"/>
      <c r="W196" s="79"/>
      <c r="X196" s="79"/>
      <c r="Y196" s="79"/>
    </row>
    <row r="197" spans="3:25" x14ac:dyDescent="0.25">
      <c r="C197" s="88"/>
      <c r="D197"/>
      <c r="F197" t="s">
        <v>195</v>
      </c>
      <c r="G197" t="s">
        <v>271</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1.7899359590788655</v>
      </c>
      <c r="Q197" s="98">
        <f t="shared" ref="Q197" si="159">Q$121 * Q137</f>
        <v>0</v>
      </c>
      <c r="R197" s="79"/>
      <c r="S197" s="79"/>
      <c r="T197" s="79"/>
      <c r="U197" s="79"/>
      <c r="V197" s="79"/>
      <c r="W197" s="79"/>
      <c r="X197" s="79"/>
      <c r="Y197" s="79"/>
    </row>
    <row r="198" spans="3:25" x14ac:dyDescent="0.25">
      <c r="C198" s="88"/>
      <c r="D198"/>
      <c r="F198" t="s">
        <v>196</v>
      </c>
      <c r="G198" t="s">
        <v>271</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0</v>
      </c>
      <c r="Q198" s="98">
        <f t="shared" ref="Q198" si="163">Q$121 * Q138</f>
        <v>0</v>
      </c>
      <c r="R198" s="79"/>
      <c r="S198" s="79"/>
      <c r="T198" s="79"/>
      <c r="U198" s="79"/>
      <c r="V198" s="79"/>
      <c r="W198" s="79"/>
      <c r="X198" s="79"/>
      <c r="Y198" s="79"/>
    </row>
    <row r="199" spans="3:25" x14ac:dyDescent="0.25">
      <c r="C199" s="88"/>
      <c r="D199"/>
      <c r="F199" t="s">
        <v>197</v>
      </c>
      <c r="G199" t="s">
        <v>271</v>
      </c>
      <c r="J199" s="98">
        <f t="shared" ref="J199:K199" si="164">J$121 * J139</f>
        <v>0</v>
      </c>
      <c r="K199" s="98">
        <f t="shared" si="164"/>
        <v>0</v>
      </c>
      <c r="L199" s="98">
        <f t="shared" ref="L199:M199" si="165">L$121 * L139</f>
        <v>0</v>
      </c>
      <c r="M199" s="98">
        <f t="shared" si="165"/>
        <v>0</v>
      </c>
      <c r="N199" s="98">
        <f t="shared" ref="N199:P199" si="166">N$121 * N139</f>
        <v>0.5910825195076318</v>
      </c>
      <c r="O199" s="98">
        <f t="shared" si="166"/>
        <v>2.863478445373203</v>
      </c>
      <c r="P199" s="98">
        <f t="shared" si="166"/>
        <v>2.9779835593506112</v>
      </c>
      <c r="Q199" s="98">
        <f t="shared" ref="Q199" si="167">Q$121 * Q139</f>
        <v>0</v>
      </c>
      <c r="R199" s="79"/>
      <c r="S199" s="79"/>
      <c r="T199" s="79"/>
      <c r="U199" s="79"/>
      <c r="V199" s="79"/>
      <c r="W199" s="79"/>
      <c r="X199" s="79"/>
      <c r="Y199" s="79"/>
    </row>
    <row r="200" spans="3:25" x14ac:dyDescent="0.25">
      <c r="C200" s="88"/>
      <c r="D200"/>
      <c r="F200" t="s">
        <v>198</v>
      </c>
      <c r="G200" t="s">
        <v>271</v>
      </c>
      <c r="J200" s="98">
        <f t="shared" ref="J200:K200" si="168">J$121 * J140</f>
        <v>0</v>
      </c>
      <c r="K200" s="98">
        <f t="shared" si="168"/>
        <v>0</v>
      </c>
      <c r="L200" s="98">
        <f t="shared" ref="L200:M200" si="169">L$121 * L140</f>
        <v>0</v>
      </c>
      <c r="M200" s="98">
        <f t="shared" si="169"/>
        <v>0</v>
      </c>
      <c r="N200" s="98">
        <f t="shared" ref="N200:P200" si="170">N$121 * N140</f>
        <v>0.27067540585763467</v>
      </c>
      <c r="O200" s="98">
        <f t="shared" si="170"/>
        <v>0.26225549387304214</v>
      </c>
      <c r="P200" s="98">
        <f t="shared" si="170"/>
        <v>0</v>
      </c>
      <c r="Q200" s="98">
        <f t="shared" ref="Q200" si="171">Q$121 * Q140</f>
        <v>0</v>
      </c>
      <c r="R200" s="79"/>
      <c r="S200" s="79"/>
      <c r="T200" s="79"/>
      <c r="U200" s="79"/>
      <c r="V200" s="79"/>
      <c r="W200" s="79"/>
      <c r="X200" s="79"/>
      <c r="Y200" s="79"/>
    </row>
    <row r="201" spans="3:25" x14ac:dyDescent="0.25">
      <c r="C201" s="88"/>
      <c r="D201"/>
      <c r="F201" t="s">
        <v>199</v>
      </c>
      <c r="G201" t="s">
        <v>271</v>
      </c>
      <c r="J201" s="98">
        <f t="shared" ref="J201:K201" si="172">J$121 * J141</f>
        <v>0</v>
      </c>
      <c r="K201" s="98">
        <f t="shared" si="172"/>
        <v>0</v>
      </c>
      <c r="L201" s="98">
        <f t="shared" ref="L201:M201" si="173">L$121 * L141</f>
        <v>0</v>
      </c>
      <c r="M201" s="98">
        <f t="shared" si="173"/>
        <v>0</v>
      </c>
      <c r="N201" s="98">
        <f t="shared" ref="N201:P201" si="174">N$121 * N141</f>
        <v>9.0150086990667275E-2</v>
      </c>
      <c r="O201" s="98">
        <f t="shared" si="174"/>
        <v>0</v>
      </c>
      <c r="P201" s="98">
        <f t="shared" si="174"/>
        <v>0</v>
      </c>
      <c r="Q201" s="98">
        <f t="shared" ref="Q201" si="175">Q$121 * Q141</f>
        <v>0</v>
      </c>
      <c r="R201" s="79"/>
      <c r="S201" s="79"/>
      <c r="T201" s="79"/>
      <c r="U201" s="79"/>
      <c r="V201" s="79"/>
      <c r="W201" s="79"/>
      <c r="X201" s="79"/>
      <c r="Y201" s="79"/>
    </row>
    <row r="202" spans="3:25" x14ac:dyDescent="0.25">
      <c r="C202" s="88"/>
      <c r="D202"/>
      <c r="F202" t="s">
        <v>376</v>
      </c>
      <c r="G202" t="s">
        <v>271</v>
      </c>
      <c r="J202" s="79"/>
      <c r="K202" s="79"/>
      <c r="L202" s="79"/>
      <c r="M202" s="79"/>
      <c r="N202" s="79"/>
      <c r="O202" s="79"/>
      <c r="P202" s="79"/>
      <c r="Q202" s="79"/>
      <c r="R202" s="79"/>
      <c r="S202" s="79"/>
      <c r="T202" s="79"/>
      <c r="U202" s="79"/>
      <c r="V202" s="79"/>
      <c r="W202" s="79"/>
      <c r="X202" s="79"/>
      <c r="Y202" s="79"/>
    </row>
    <row r="203" spans="3:25" x14ac:dyDescent="0.25">
      <c r="C203" s="88"/>
      <c r="D203"/>
      <c r="F203" s="37" t="s">
        <v>377</v>
      </c>
      <c r="G203" s="37" t="s">
        <v>271</v>
      </c>
      <c r="H203" s="37"/>
      <c r="I203" s="37"/>
      <c r="J203" s="81"/>
      <c r="K203" s="81"/>
      <c r="L203" s="81"/>
      <c r="M203" s="81"/>
      <c r="N203" s="81"/>
      <c r="O203" s="81"/>
      <c r="P203" s="81"/>
      <c r="Q203" s="81"/>
      <c r="R203" s="81"/>
      <c r="S203" s="81"/>
      <c r="T203" s="81"/>
      <c r="U203" s="81"/>
      <c r="V203" s="81"/>
      <c r="W203" s="81"/>
      <c r="X203" s="81"/>
      <c r="Y203" s="81"/>
    </row>
    <row r="204" spans="3:25" x14ac:dyDescent="0.25">
      <c r="C204" s="88"/>
      <c r="D204"/>
      <c r="J204" s="89"/>
      <c r="K204" s="89"/>
      <c r="L204" s="89"/>
      <c r="M204" s="89"/>
      <c r="N204" s="89"/>
      <c r="O204" s="89"/>
      <c r="P204" s="89"/>
      <c r="Q204" s="89"/>
      <c r="R204" s="89"/>
      <c r="S204" s="89"/>
      <c r="T204" s="89"/>
      <c r="U204" s="89"/>
      <c r="V204" s="89"/>
      <c r="W204" s="89"/>
      <c r="X204" s="89"/>
      <c r="Y204" s="89"/>
    </row>
    <row r="205" spans="3:25" x14ac:dyDescent="0.25">
      <c r="C205" s="88"/>
      <c r="D205"/>
      <c r="E205" s="32" t="s">
        <v>622</v>
      </c>
      <c r="J205" s="89"/>
      <c r="K205" s="89"/>
      <c r="L205" s="89"/>
      <c r="M205" s="89"/>
      <c r="N205" s="89"/>
      <c r="O205" s="89"/>
      <c r="P205" s="89"/>
      <c r="Q205" s="89"/>
      <c r="R205" s="89"/>
      <c r="S205" s="89"/>
      <c r="T205" s="89"/>
      <c r="U205" s="89"/>
      <c r="V205" s="89"/>
      <c r="W205" s="89"/>
      <c r="X205" s="89"/>
      <c r="Y205" s="89"/>
    </row>
    <row r="206" spans="3:25" x14ac:dyDescent="0.25">
      <c r="C206" s="88"/>
      <c r="D206"/>
      <c r="F206" s="23" t="s">
        <v>189</v>
      </c>
      <c r="G206" s="23" t="s">
        <v>271</v>
      </c>
      <c r="H206" s="23"/>
      <c r="I206" s="23"/>
      <c r="J206" s="126">
        <f t="shared" ref="J206:K206" si="176">J$121 * J146</f>
        <v>0</v>
      </c>
      <c r="K206" s="126">
        <f t="shared" si="176"/>
        <v>0</v>
      </c>
      <c r="L206" s="126">
        <f t="shared" ref="L206:M206" si="177">L$121 * L146</f>
        <v>0</v>
      </c>
      <c r="M206" s="126">
        <f t="shared" si="177"/>
        <v>0</v>
      </c>
      <c r="N206" s="126">
        <f t="shared" ref="N206:P206" si="178">N$121 * N146</f>
        <v>0</v>
      </c>
      <c r="O206" s="126">
        <f t="shared" si="178"/>
        <v>0</v>
      </c>
      <c r="P206" s="126">
        <f t="shared" si="178"/>
        <v>0</v>
      </c>
      <c r="Q206" s="126">
        <f t="shared" ref="Q206" si="179">Q$121 * Q146</f>
        <v>0</v>
      </c>
      <c r="R206" s="83"/>
      <c r="S206" s="83"/>
      <c r="T206" s="83"/>
      <c r="U206" s="83"/>
      <c r="V206" s="83"/>
      <c r="W206" s="83"/>
      <c r="X206" s="83"/>
      <c r="Y206" s="83"/>
    </row>
    <row r="207" spans="3:25" x14ac:dyDescent="0.25">
      <c r="C207" s="88"/>
      <c r="D207"/>
      <c r="F207" t="s">
        <v>191</v>
      </c>
      <c r="G207" t="s">
        <v>271</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25">
      <c r="C208" s="88"/>
      <c r="D208"/>
      <c r="F208" t="s">
        <v>192</v>
      </c>
      <c r="G208" t="s">
        <v>271</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0</v>
      </c>
      <c r="Q208" s="98">
        <f t="shared" ref="Q208" si="187">Q$121 * Q148</f>
        <v>0</v>
      </c>
      <c r="R208" s="79"/>
      <c r="S208" s="79"/>
      <c r="T208" s="79"/>
      <c r="U208" s="79"/>
      <c r="V208" s="79"/>
      <c r="W208" s="79"/>
      <c r="X208" s="79"/>
      <c r="Y208" s="79"/>
    </row>
    <row r="209" spans="3:27" x14ac:dyDescent="0.25">
      <c r="C209" s="88"/>
      <c r="D209"/>
      <c r="F209" t="s">
        <v>193</v>
      </c>
      <c r="G209" t="s">
        <v>271</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25">
      <c r="C210" s="88"/>
      <c r="D210"/>
      <c r="F210" t="s">
        <v>194</v>
      </c>
      <c r="G210" t="s">
        <v>271</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0.33531950359733592</v>
      </c>
      <c r="Q210" s="98">
        <f t="shared" ref="Q210" si="195">Q$121 * Q150</f>
        <v>0</v>
      </c>
      <c r="R210" s="79"/>
      <c r="S210" s="79"/>
      <c r="T210" s="79"/>
      <c r="U210" s="79"/>
      <c r="V210" s="79"/>
      <c r="W210" s="79"/>
      <c r="X210" s="79"/>
      <c r="Y210" s="79"/>
    </row>
    <row r="211" spans="3:27" x14ac:dyDescent="0.25">
      <c r="C211" s="88"/>
      <c r="D211"/>
      <c r="F211" t="s">
        <v>195</v>
      </c>
      <c r="G211" t="s">
        <v>271</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1.51697923976191</v>
      </c>
      <c r="Q211" s="98">
        <f t="shared" ref="Q211" si="199">Q$121 * Q151</f>
        <v>0</v>
      </c>
      <c r="R211" s="79"/>
      <c r="S211" s="79"/>
      <c r="T211" s="79"/>
      <c r="U211" s="79"/>
      <c r="V211" s="79"/>
      <c r="W211" s="79"/>
      <c r="X211" s="79"/>
      <c r="Y211" s="79"/>
    </row>
    <row r="212" spans="3:27" x14ac:dyDescent="0.25">
      <c r="C212" s="88"/>
      <c r="D212"/>
      <c r="F212" t="s">
        <v>196</v>
      </c>
      <c r="G212" t="s">
        <v>271</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0</v>
      </c>
      <c r="Q212" s="98">
        <f t="shared" ref="Q212" si="203">Q$121 * Q152</f>
        <v>0</v>
      </c>
      <c r="R212" s="79"/>
      <c r="S212" s="79"/>
      <c r="T212" s="79"/>
      <c r="U212" s="79"/>
      <c r="V212" s="79"/>
      <c r="W212" s="79"/>
      <c r="X212" s="79"/>
      <c r="Y212" s="79"/>
    </row>
    <row r="213" spans="3:27" x14ac:dyDescent="0.25">
      <c r="C213" s="88"/>
      <c r="D213"/>
      <c r="F213" t="s">
        <v>197</v>
      </c>
      <c r="G213" t="s">
        <v>271</v>
      </c>
      <c r="J213" s="98">
        <f t="shared" ref="J213:K213" si="204">J$121 * J153</f>
        <v>0</v>
      </c>
      <c r="K213" s="98">
        <f t="shared" si="204"/>
        <v>0</v>
      </c>
      <c r="L213" s="98">
        <f t="shared" ref="L213:M213" si="205">L$121 * L153</f>
        <v>0</v>
      </c>
      <c r="M213" s="98">
        <f t="shared" si="205"/>
        <v>0</v>
      </c>
      <c r="N213" s="98">
        <f t="shared" ref="N213:P213" si="206">N$121 * N153</f>
        <v>0.86495356396541878</v>
      </c>
      <c r="O213" s="98">
        <f t="shared" si="206"/>
        <v>4.1902370733731864</v>
      </c>
      <c r="P213" s="98">
        <f t="shared" si="206"/>
        <v>4.099230980183779</v>
      </c>
      <c r="Q213" s="98">
        <f t="shared" ref="Q213" si="207">Q$121 * Q153</f>
        <v>0</v>
      </c>
      <c r="R213" s="79"/>
      <c r="S213" s="79"/>
      <c r="T213" s="79"/>
      <c r="U213" s="79"/>
      <c r="V213" s="79"/>
      <c r="W213" s="79"/>
      <c r="X213" s="79"/>
      <c r="Y213" s="79"/>
    </row>
    <row r="214" spans="3:27" x14ac:dyDescent="0.25">
      <c r="C214" s="88"/>
      <c r="D214"/>
      <c r="F214" t="s">
        <v>198</v>
      </c>
      <c r="G214" t="s">
        <v>271</v>
      </c>
      <c r="J214" s="98">
        <f t="shared" ref="J214:K214" si="208">J$121 * J154</f>
        <v>0</v>
      </c>
      <c r="K214" s="98">
        <f t="shared" si="208"/>
        <v>0</v>
      </c>
      <c r="L214" s="98">
        <f t="shared" ref="L214:M214" si="209">L$121 * L154</f>
        <v>0</v>
      </c>
      <c r="M214" s="98">
        <f t="shared" si="209"/>
        <v>0</v>
      </c>
      <c r="N214" s="98">
        <f t="shared" ref="N214:P214" si="210">N$121 * N154</f>
        <v>1.0472493011845847</v>
      </c>
      <c r="O214" s="98">
        <f t="shared" si="210"/>
        <v>1.0146724702236736</v>
      </c>
      <c r="P214" s="98">
        <f t="shared" si="210"/>
        <v>0</v>
      </c>
      <c r="Q214" s="98">
        <f t="shared" ref="Q214" si="211">Q$121 * Q154</f>
        <v>0</v>
      </c>
      <c r="R214" s="79"/>
      <c r="S214" s="79"/>
      <c r="T214" s="79"/>
      <c r="U214" s="79"/>
      <c r="V214" s="79"/>
      <c r="W214" s="79"/>
      <c r="X214" s="79"/>
      <c r="Y214" s="79"/>
    </row>
    <row r="215" spans="3:27" x14ac:dyDescent="0.25">
      <c r="C215" s="88"/>
      <c r="D215"/>
      <c r="F215" t="s">
        <v>199</v>
      </c>
      <c r="G215" t="s">
        <v>271</v>
      </c>
      <c r="J215" s="98">
        <f t="shared" ref="J215:K215" si="212">J$121 * J155</f>
        <v>0</v>
      </c>
      <c r="K215" s="98">
        <f t="shared" si="212"/>
        <v>0</v>
      </c>
      <c r="L215" s="98">
        <f t="shared" ref="L215:M215" si="213">L$121 * L155</f>
        <v>0</v>
      </c>
      <c r="M215" s="98">
        <f t="shared" si="213"/>
        <v>0</v>
      </c>
      <c r="N215" s="98">
        <f t="shared" ref="N215:P215" si="214">N$121 * N155</f>
        <v>2.2799050930396323</v>
      </c>
      <c r="O215" s="98">
        <f t="shared" si="214"/>
        <v>0</v>
      </c>
      <c r="P215" s="98">
        <f t="shared" si="214"/>
        <v>0</v>
      </c>
      <c r="Q215" s="98">
        <f t="shared" ref="Q215" si="215">Q$121 * Q155</f>
        <v>0</v>
      </c>
      <c r="R215" s="79"/>
      <c r="S215" s="79"/>
      <c r="T215" s="79"/>
      <c r="U215" s="79"/>
      <c r="V215" s="79"/>
      <c r="W215" s="79"/>
      <c r="X215" s="79"/>
      <c r="Y215" s="79"/>
    </row>
    <row r="216" spans="3:27" x14ac:dyDescent="0.25">
      <c r="C216" s="88"/>
      <c r="D216"/>
      <c r="F216" t="s">
        <v>376</v>
      </c>
      <c r="G216" t="s">
        <v>271</v>
      </c>
      <c r="J216" s="79"/>
      <c r="K216" s="79"/>
      <c r="L216" s="79"/>
      <c r="M216" s="79"/>
      <c r="N216" s="79"/>
      <c r="O216" s="79"/>
      <c r="P216" s="79"/>
      <c r="Q216" s="79"/>
      <c r="R216" s="79"/>
      <c r="S216" s="79"/>
      <c r="T216" s="79"/>
      <c r="U216" s="79"/>
      <c r="V216" s="79"/>
      <c r="W216" s="79"/>
      <c r="X216" s="79"/>
      <c r="Y216" s="79"/>
    </row>
    <row r="217" spans="3:27" x14ac:dyDescent="0.25">
      <c r="C217" s="88"/>
      <c r="D217"/>
      <c r="F217" s="37" t="s">
        <v>377</v>
      </c>
      <c r="G217" s="37" t="s">
        <v>271</v>
      </c>
      <c r="H217" s="37"/>
      <c r="I217" s="37"/>
      <c r="J217" s="81"/>
      <c r="K217" s="81"/>
      <c r="L217" s="81"/>
      <c r="M217" s="81"/>
      <c r="N217" s="81"/>
      <c r="O217" s="81"/>
      <c r="P217" s="81"/>
      <c r="Q217" s="81"/>
      <c r="R217" s="81"/>
      <c r="S217" s="81"/>
      <c r="T217" s="81"/>
      <c r="U217" s="81"/>
      <c r="V217" s="81"/>
      <c r="W217" s="81"/>
      <c r="X217" s="81"/>
      <c r="Y217" s="81"/>
    </row>
    <row r="218" spans="3:27" x14ac:dyDescent="0.25">
      <c r="C218" s="88"/>
      <c r="J218" s="89"/>
      <c r="K218" s="89"/>
      <c r="L218" s="89"/>
      <c r="M218" s="89"/>
      <c r="N218" s="89"/>
      <c r="O218" s="89"/>
      <c r="P218" s="89"/>
      <c r="Q218" s="89"/>
      <c r="R218" s="89"/>
      <c r="S218" s="89"/>
      <c r="T218" s="89"/>
      <c r="U218" s="89"/>
      <c r="V218" s="89"/>
      <c r="W218" s="89"/>
      <c r="X218" s="89"/>
      <c r="Y218" s="89"/>
    </row>
    <row r="219" spans="3:27" x14ac:dyDescent="0.25">
      <c r="C219" s="31" t="str">
        <f ca="1">INDEX('Version control'!$H$34:$H$57,MATCH($A$1,'Version control'!$F$34:$F$57,0),1)&amp;"-E: Exceeded capacity charges for eligible customers, by network level"</f>
        <v>Section 113-E: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25">
      <c r="D220" s="32"/>
      <c r="E220" s="32"/>
      <c r="I220" t="s">
        <v>154</v>
      </c>
      <c r="J220" s="89"/>
      <c r="K220" s="89"/>
      <c r="L220" s="89"/>
      <c r="M220" s="89"/>
      <c r="N220" s="89"/>
      <c r="O220" s="89"/>
      <c r="P220" s="89"/>
      <c r="Q220" s="89"/>
      <c r="R220" s="89"/>
      <c r="S220" s="89"/>
      <c r="T220" s="89"/>
      <c r="U220" s="89"/>
      <c r="V220" s="89"/>
      <c r="W220" s="89"/>
      <c r="X220" s="89"/>
      <c r="Y220" s="89"/>
      <c r="AA220" t="s">
        <v>706</v>
      </c>
    </row>
    <row r="221" spans="3:27" x14ac:dyDescent="0.25">
      <c r="C221" s="88"/>
      <c r="D221"/>
      <c r="E221" s="32" t="s">
        <v>621</v>
      </c>
      <c r="J221" s="89"/>
      <c r="K221" s="89"/>
      <c r="L221" s="89"/>
      <c r="M221" s="89"/>
      <c r="N221" s="89"/>
      <c r="O221" s="89"/>
      <c r="P221" s="89"/>
      <c r="Q221" s="89"/>
      <c r="R221" s="89"/>
      <c r="S221" s="89"/>
      <c r="T221" s="89"/>
      <c r="U221" s="89"/>
      <c r="V221" s="89"/>
      <c r="W221" s="89"/>
      <c r="X221" s="89"/>
      <c r="Y221" s="89"/>
    </row>
    <row r="222" spans="3:27" x14ac:dyDescent="0.25">
      <c r="C222" s="88"/>
      <c r="D222"/>
      <c r="F222" s="23" t="s">
        <v>189</v>
      </c>
      <c r="G222" s="23" t="s">
        <v>271</v>
      </c>
      <c r="H222" s="23"/>
      <c r="I222" s="23"/>
      <c r="J222" s="83"/>
      <c r="K222" s="83"/>
      <c r="L222" s="83"/>
      <c r="M222" s="83"/>
      <c r="N222" s="83"/>
      <c r="O222" s="83"/>
      <c r="P222" s="83"/>
      <c r="Q222" s="83"/>
      <c r="R222" s="83"/>
      <c r="S222" s="83"/>
      <c r="T222" s="83"/>
      <c r="U222" s="83"/>
      <c r="V222" s="83"/>
      <c r="W222" s="83"/>
      <c r="X222" s="83"/>
      <c r="Y222" s="83"/>
    </row>
    <row r="223" spans="3:27" x14ac:dyDescent="0.25">
      <c r="C223" s="88"/>
      <c r="D223"/>
      <c r="F223" t="s">
        <v>191</v>
      </c>
      <c r="G223" t="s">
        <v>271</v>
      </c>
      <c r="J223" s="79"/>
      <c r="K223" s="79"/>
      <c r="L223" s="79"/>
      <c r="M223" s="79"/>
      <c r="N223" s="79"/>
      <c r="O223" s="79"/>
      <c r="P223" s="79"/>
      <c r="Q223" s="79"/>
      <c r="R223" s="79"/>
      <c r="S223" s="79"/>
      <c r="T223" s="79"/>
      <c r="U223" s="79"/>
      <c r="V223" s="79"/>
      <c r="W223" s="79"/>
      <c r="X223" s="79"/>
      <c r="Y223" s="79"/>
    </row>
    <row r="224" spans="3:27" x14ac:dyDescent="0.25">
      <c r="C224" s="88"/>
      <c r="D224"/>
      <c r="F224" t="s">
        <v>192</v>
      </c>
      <c r="G224" t="s">
        <v>271</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0</v>
      </c>
      <c r="Q224" s="98">
        <f t="shared" ref="Q224" si="219">Q$122 * Q164</f>
        <v>0</v>
      </c>
      <c r="R224" s="79"/>
      <c r="S224" s="79"/>
      <c r="T224" s="79"/>
      <c r="U224" s="79"/>
      <c r="V224" s="79"/>
      <c r="W224" s="79"/>
      <c r="X224" s="79"/>
      <c r="Y224" s="79"/>
    </row>
    <row r="225" spans="3:25" x14ac:dyDescent="0.25">
      <c r="C225" s="88"/>
      <c r="D225"/>
      <c r="F225" t="s">
        <v>193</v>
      </c>
      <c r="G225" t="s">
        <v>271</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25">
      <c r="C226" s="88"/>
      <c r="D226"/>
      <c r="F226" t="s">
        <v>194</v>
      </c>
      <c r="G226" t="s">
        <v>271</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0.39867165924810011</v>
      </c>
      <c r="Q226" s="98">
        <f t="shared" ref="Q226" si="227">Q$122 * Q166</f>
        <v>0</v>
      </c>
      <c r="R226" s="79"/>
      <c r="S226" s="79"/>
      <c r="T226" s="79"/>
      <c r="U226" s="79"/>
      <c r="V226" s="79"/>
      <c r="W226" s="79"/>
      <c r="X226" s="79"/>
      <c r="Y226" s="79"/>
    </row>
    <row r="227" spans="3:25" x14ac:dyDescent="0.25">
      <c r="C227" s="88"/>
      <c r="D227"/>
      <c r="F227" t="s">
        <v>195</v>
      </c>
      <c r="G227" t="s">
        <v>271</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1.8035832215922651</v>
      </c>
      <c r="Q227" s="98">
        <f t="shared" ref="Q227" si="231">Q$122 * Q167</f>
        <v>0</v>
      </c>
      <c r="R227" s="79"/>
      <c r="S227" s="79"/>
      <c r="T227" s="79"/>
      <c r="U227" s="79"/>
      <c r="V227" s="79"/>
      <c r="W227" s="79"/>
      <c r="X227" s="79"/>
      <c r="Y227" s="79"/>
    </row>
    <row r="228" spans="3:25" x14ac:dyDescent="0.25">
      <c r="C228" s="88"/>
      <c r="D228"/>
      <c r="F228" t="s">
        <v>196</v>
      </c>
      <c r="G228" t="s">
        <v>271</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v>
      </c>
      <c r="Q228" s="98">
        <f t="shared" ref="Q228" si="235">Q$122 * Q168</f>
        <v>0</v>
      </c>
      <c r="R228" s="79"/>
      <c r="S228" s="79"/>
      <c r="T228" s="79"/>
      <c r="U228" s="79"/>
      <c r="V228" s="79"/>
      <c r="W228" s="79"/>
      <c r="X228" s="79"/>
      <c r="Y228" s="79"/>
    </row>
    <row r="229" spans="3:25" x14ac:dyDescent="0.25">
      <c r="C229" s="88"/>
      <c r="D229"/>
      <c r="F229" t="s">
        <v>197</v>
      </c>
      <c r="G229" t="s">
        <v>271</v>
      </c>
      <c r="J229" s="98">
        <f t="shared" ref="J229:K229" si="236">J$122 * J169</f>
        <v>0</v>
      </c>
      <c r="K229" s="98">
        <f t="shared" si="236"/>
        <v>0</v>
      </c>
      <c r="L229" s="98">
        <f t="shared" ref="L229:M229" si="237">L$122 * L169</f>
        <v>0</v>
      </c>
      <c r="M229" s="98">
        <f t="shared" si="237"/>
        <v>0</v>
      </c>
      <c r="N229" s="98">
        <f t="shared" ref="N229:P229" si="238">N$122 * N169</f>
        <v>1.0283698646194432</v>
      </c>
      <c r="O229" s="98">
        <f t="shared" si="238"/>
        <v>4.9819015856907161</v>
      </c>
      <c r="P229" s="98">
        <f t="shared" si="238"/>
        <v>4.873701645680435</v>
      </c>
      <c r="Q229" s="98">
        <f t="shared" ref="Q229" si="239">Q$122 * Q169</f>
        <v>0</v>
      </c>
      <c r="R229" s="79"/>
      <c r="S229" s="79"/>
      <c r="T229" s="79"/>
      <c r="U229" s="79"/>
      <c r="V229" s="79"/>
      <c r="W229" s="79"/>
      <c r="X229" s="79"/>
      <c r="Y229" s="79"/>
    </row>
    <row r="230" spans="3:25" x14ac:dyDescent="0.25">
      <c r="C230" s="88"/>
      <c r="D230"/>
      <c r="F230" t="s">
        <v>198</v>
      </c>
      <c r="G230" t="s">
        <v>271</v>
      </c>
      <c r="J230" s="98">
        <f t="shared" ref="J230:K230" si="240">J$122 * J170</f>
        <v>0</v>
      </c>
      <c r="K230" s="98">
        <f t="shared" si="240"/>
        <v>0</v>
      </c>
      <c r="L230" s="98">
        <f t="shared" ref="L230:M230" si="241">L$122 * L170</f>
        <v>0</v>
      </c>
      <c r="M230" s="98">
        <f t="shared" si="241"/>
        <v>0</v>
      </c>
      <c r="N230" s="98">
        <f t="shared" ref="N230:P230" si="242">N$122 * N170</f>
        <v>1.2451068669451195</v>
      </c>
      <c r="O230" s="98">
        <f t="shared" si="242"/>
        <v>1.2063752718159941</v>
      </c>
      <c r="P230" s="98">
        <f t="shared" si="242"/>
        <v>0</v>
      </c>
      <c r="Q230" s="98">
        <f t="shared" ref="Q230" si="243">Q$122 * Q170</f>
        <v>0</v>
      </c>
      <c r="R230" s="79"/>
      <c r="S230" s="79"/>
      <c r="T230" s="79"/>
      <c r="U230" s="79"/>
      <c r="V230" s="79"/>
      <c r="W230" s="79"/>
      <c r="X230" s="79"/>
      <c r="Y230" s="79"/>
    </row>
    <row r="231" spans="3:25" x14ac:dyDescent="0.25">
      <c r="C231" s="88"/>
      <c r="D231"/>
      <c r="F231" t="s">
        <v>199</v>
      </c>
      <c r="G231" t="s">
        <v>271</v>
      </c>
      <c r="J231" s="98">
        <f t="shared" ref="J231:K231" si="244">J$122 * J171</f>
        <v>0</v>
      </c>
      <c r="K231" s="98">
        <f t="shared" si="244"/>
        <v>0</v>
      </c>
      <c r="L231" s="98">
        <f t="shared" ref="L231:M231" si="245">L$122 * L171</f>
        <v>0</v>
      </c>
      <c r="M231" s="98">
        <f t="shared" si="245"/>
        <v>0</v>
      </c>
      <c r="N231" s="98">
        <f t="shared" ref="N231:P231" si="246">N$122 * N171</f>
        <v>2.710649206560277</v>
      </c>
      <c r="O231" s="98">
        <f t="shared" si="246"/>
        <v>0</v>
      </c>
      <c r="P231" s="98">
        <f t="shared" si="246"/>
        <v>0</v>
      </c>
      <c r="Q231" s="98">
        <f t="shared" ref="Q231" si="247">Q$122 * Q171</f>
        <v>0</v>
      </c>
      <c r="R231" s="79"/>
      <c r="S231" s="79"/>
      <c r="T231" s="79"/>
      <c r="U231" s="79"/>
      <c r="V231" s="79"/>
      <c r="W231" s="79"/>
      <c r="X231" s="79"/>
      <c r="Y231" s="79"/>
    </row>
    <row r="232" spans="3:25" x14ac:dyDescent="0.25">
      <c r="C232" s="88"/>
      <c r="D232"/>
      <c r="F232" t="s">
        <v>376</v>
      </c>
      <c r="G232" t="s">
        <v>271</v>
      </c>
      <c r="J232" s="79"/>
      <c r="K232" s="79"/>
      <c r="L232" s="79"/>
      <c r="M232" s="79"/>
      <c r="N232" s="79"/>
      <c r="O232" s="79"/>
      <c r="P232" s="79"/>
      <c r="Q232" s="79"/>
      <c r="R232" s="79"/>
      <c r="S232" s="79"/>
      <c r="T232" s="79"/>
      <c r="U232" s="79"/>
      <c r="V232" s="79"/>
      <c r="W232" s="79"/>
      <c r="X232" s="79"/>
      <c r="Y232" s="79"/>
    </row>
    <row r="233" spans="3:25" x14ac:dyDescent="0.25">
      <c r="C233" s="88"/>
      <c r="D233"/>
      <c r="F233" s="37" t="s">
        <v>377</v>
      </c>
      <c r="G233" s="37" t="s">
        <v>271</v>
      </c>
      <c r="H233" s="37"/>
      <c r="I233" s="37"/>
      <c r="J233" s="81"/>
      <c r="K233" s="81"/>
      <c r="L233" s="81"/>
      <c r="M233" s="81"/>
      <c r="N233" s="81"/>
      <c r="O233" s="81"/>
      <c r="P233" s="81"/>
      <c r="Q233" s="81"/>
      <c r="R233" s="81"/>
      <c r="S233" s="81"/>
      <c r="T233" s="81"/>
      <c r="U233" s="81"/>
      <c r="V233" s="81"/>
      <c r="W233" s="81"/>
      <c r="X233" s="81"/>
      <c r="Y233" s="81"/>
    </row>
    <row r="234" spans="3:25" x14ac:dyDescent="0.25">
      <c r="C234" s="88"/>
      <c r="D234"/>
      <c r="J234" s="89"/>
      <c r="K234" s="89"/>
      <c r="L234" s="89"/>
      <c r="M234" s="89"/>
      <c r="N234" s="89"/>
      <c r="O234" s="89"/>
      <c r="P234" s="89"/>
      <c r="Q234" s="89"/>
      <c r="R234" s="89"/>
      <c r="S234" s="89"/>
      <c r="T234" s="89"/>
      <c r="U234" s="89"/>
      <c r="V234" s="89"/>
      <c r="W234" s="89"/>
      <c r="X234" s="89"/>
      <c r="Y234" s="89"/>
    </row>
    <row r="235" spans="3:25" x14ac:dyDescent="0.25">
      <c r="C235" s="88"/>
      <c r="D235"/>
      <c r="E235" s="32" t="s">
        <v>622</v>
      </c>
      <c r="J235" s="89"/>
      <c r="K235" s="89"/>
      <c r="L235" s="89"/>
      <c r="M235" s="89"/>
      <c r="N235" s="89"/>
      <c r="O235" s="89"/>
      <c r="P235" s="89"/>
      <c r="Q235" s="89"/>
      <c r="R235" s="89"/>
      <c r="S235" s="89"/>
      <c r="T235" s="89"/>
      <c r="U235" s="89"/>
      <c r="V235" s="89"/>
      <c r="W235" s="89"/>
      <c r="X235" s="89"/>
      <c r="Y235" s="89"/>
    </row>
    <row r="236" spans="3:25" x14ac:dyDescent="0.25">
      <c r="C236" s="88"/>
      <c r="D236"/>
      <c r="F236" s="23" t="s">
        <v>189</v>
      </c>
      <c r="G236" s="23" t="s">
        <v>271</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25">
      <c r="C237" s="88"/>
      <c r="D237"/>
      <c r="F237" t="s">
        <v>191</v>
      </c>
      <c r="G237" t="s">
        <v>271</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25">
      <c r="C238" s="88"/>
      <c r="D238"/>
      <c r="F238" t="s">
        <v>192</v>
      </c>
      <c r="G238" t="s">
        <v>271</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0</v>
      </c>
      <c r="Q238" s="98">
        <f t="shared" ref="Q238" si="259">Q$122 * Q178</f>
        <v>0</v>
      </c>
      <c r="R238" s="79"/>
      <c r="S238" s="79"/>
      <c r="T238" s="79"/>
      <c r="U238" s="79"/>
      <c r="V238" s="79"/>
      <c r="W238" s="79"/>
      <c r="X238" s="79"/>
      <c r="Y238" s="79"/>
    </row>
    <row r="239" spans="3:25" x14ac:dyDescent="0.25">
      <c r="C239" s="88"/>
      <c r="D239"/>
      <c r="F239" t="s">
        <v>193</v>
      </c>
      <c r="G239" t="s">
        <v>271</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25">
      <c r="C240" s="88"/>
      <c r="D240"/>
      <c r="F240" t="s">
        <v>194</v>
      </c>
      <c r="G240" t="s">
        <v>271</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0.33531950359733592</v>
      </c>
      <c r="Q240" s="98">
        <f t="shared" ref="Q240" si="267">Q$122 * Q180</f>
        <v>0</v>
      </c>
      <c r="R240" s="79"/>
      <c r="S240" s="79"/>
      <c r="T240" s="79"/>
      <c r="U240" s="79"/>
      <c r="V240" s="79"/>
      <c r="W240" s="79"/>
      <c r="X240" s="79"/>
      <c r="Y240" s="79"/>
    </row>
    <row r="241" spans="2:27" x14ac:dyDescent="0.25">
      <c r="C241" s="88"/>
      <c r="D241"/>
      <c r="F241" t="s">
        <v>195</v>
      </c>
      <c r="G241" t="s">
        <v>271</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1.51697923976191</v>
      </c>
      <c r="Q241" s="98">
        <f t="shared" ref="Q241" si="271">Q$122 * Q181</f>
        <v>0</v>
      </c>
      <c r="R241" s="79"/>
      <c r="S241" s="79"/>
      <c r="T241" s="79"/>
      <c r="U241" s="79"/>
      <c r="V241" s="79"/>
      <c r="W241" s="79"/>
      <c r="X241" s="79"/>
      <c r="Y241" s="79"/>
    </row>
    <row r="242" spans="2:27" x14ac:dyDescent="0.25">
      <c r="C242" s="88"/>
      <c r="D242"/>
      <c r="F242" t="s">
        <v>196</v>
      </c>
      <c r="G242" t="s">
        <v>271</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0</v>
      </c>
      <c r="Q242" s="98">
        <f t="shared" ref="Q242" si="275">Q$122 * Q182</f>
        <v>0</v>
      </c>
      <c r="R242" s="79"/>
      <c r="S242" s="79"/>
      <c r="T242" s="79"/>
      <c r="U242" s="79"/>
      <c r="V242" s="79"/>
      <c r="W242" s="79"/>
      <c r="X242" s="79"/>
      <c r="Y242" s="79"/>
    </row>
    <row r="243" spans="2:27" x14ac:dyDescent="0.25">
      <c r="C243" s="88"/>
      <c r="D243"/>
      <c r="F243" t="s">
        <v>197</v>
      </c>
      <c r="G243" t="s">
        <v>271</v>
      </c>
      <c r="J243" s="98">
        <f t="shared" ref="J243:K243" si="276">J$122 * J183</f>
        <v>0</v>
      </c>
      <c r="K243" s="98">
        <f t="shared" si="276"/>
        <v>0</v>
      </c>
      <c r="L243" s="98">
        <f t="shared" ref="L243:M243" si="277">L$122 * L183</f>
        <v>0</v>
      </c>
      <c r="M243" s="98">
        <f t="shared" si="277"/>
        <v>0</v>
      </c>
      <c r="N243" s="98">
        <f t="shared" ref="N243:P243" si="278">N$122 * N183</f>
        <v>0.86495356396541878</v>
      </c>
      <c r="O243" s="98">
        <f t="shared" si="278"/>
        <v>4.1902370733731864</v>
      </c>
      <c r="P243" s="98">
        <f t="shared" si="278"/>
        <v>4.099230980183779</v>
      </c>
      <c r="Q243" s="98">
        <f t="shared" ref="Q243" si="279">Q$122 * Q183</f>
        <v>0</v>
      </c>
      <c r="R243" s="79"/>
      <c r="S243" s="79"/>
      <c r="T243" s="79"/>
      <c r="U243" s="79"/>
      <c r="V243" s="79"/>
      <c r="W243" s="79"/>
      <c r="X243" s="79"/>
      <c r="Y243" s="79"/>
    </row>
    <row r="244" spans="2:27" x14ac:dyDescent="0.25">
      <c r="C244" s="88"/>
      <c r="D244"/>
      <c r="F244" t="s">
        <v>198</v>
      </c>
      <c r="G244" t="s">
        <v>271</v>
      </c>
      <c r="J244" s="98">
        <f t="shared" ref="J244:K244" si="280">J$122 * J184</f>
        <v>0</v>
      </c>
      <c r="K244" s="98">
        <f t="shared" si="280"/>
        <v>0</v>
      </c>
      <c r="L244" s="98">
        <f t="shared" ref="L244:M244" si="281">L$122 * L184</f>
        <v>0</v>
      </c>
      <c r="M244" s="98">
        <f t="shared" si="281"/>
        <v>0</v>
      </c>
      <c r="N244" s="98">
        <f t="shared" ref="N244:P244" si="282">N$122 * N184</f>
        <v>1.0472493011845847</v>
      </c>
      <c r="O244" s="98">
        <f t="shared" si="282"/>
        <v>1.0146724702236736</v>
      </c>
      <c r="P244" s="98">
        <f t="shared" si="282"/>
        <v>0</v>
      </c>
      <c r="Q244" s="98">
        <f t="shared" ref="Q244" si="283">Q$122 * Q184</f>
        <v>0</v>
      </c>
      <c r="R244" s="79"/>
      <c r="S244" s="79"/>
      <c r="T244" s="79"/>
      <c r="U244" s="79"/>
      <c r="V244" s="79"/>
      <c r="W244" s="79"/>
      <c r="X244" s="79"/>
      <c r="Y244" s="79"/>
    </row>
    <row r="245" spans="2:27" x14ac:dyDescent="0.25">
      <c r="C245" s="88"/>
      <c r="D245"/>
      <c r="F245" t="s">
        <v>199</v>
      </c>
      <c r="G245" t="s">
        <v>271</v>
      </c>
      <c r="J245" s="98">
        <f t="shared" ref="J245:K245" si="284">J$122 * J185</f>
        <v>0</v>
      </c>
      <c r="K245" s="98">
        <f t="shared" si="284"/>
        <v>0</v>
      </c>
      <c r="L245" s="98">
        <f t="shared" ref="L245:M245" si="285">L$122 * L185</f>
        <v>0</v>
      </c>
      <c r="M245" s="98">
        <f t="shared" si="285"/>
        <v>0</v>
      </c>
      <c r="N245" s="98">
        <f t="shared" ref="N245:P245" si="286">N$122 * N185</f>
        <v>2.2799050930396323</v>
      </c>
      <c r="O245" s="98">
        <f t="shared" si="286"/>
        <v>0</v>
      </c>
      <c r="P245" s="98">
        <f t="shared" si="286"/>
        <v>0</v>
      </c>
      <c r="Q245" s="98">
        <f t="shared" ref="Q245" si="287">Q$122 * Q185</f>
        <v>0</v>
      </c>
      <c r="R245" s="79"/>
      <c r="S245" s="79"/>
      <c r="T245" s="79"/>
      <c r="U245" s="79"/>
      <c r="V245" s="79"/>
      <c r="W245" s="79"/>
      <c r="X245" s="79"/>
      <c r="Y245" s="79"/>
    </row>
    <row r="246" spans="2:27" x14ac:dyDescent="0.25">
      <c r="C246" s="88"/>
      <c r="D246"/>
      <c r="F246" t="s">
        <v>376</v>
      </c>
      <c r="G246" t="s">
        <v>271</v>
      </c>
      <c r="J246" s="79"/>
      <c r="K246" s="79"/>
      <c r="L246" s="79"/>
      <c r="M246" s="79"/>
      <c r="N246" s="79"/>
      <c r="O246" s="79"/>
      <c r="P246" s="79"/>
      <c r="Q246" s="79"/>
      <c r="R246" s="79"/>
      <c r="S246" s="79"/>
      <c r="T246" s="79"/>
      <c r="U246" s="79"/>
      <c r="V246" s="79"/>
      <c r="W246" s="79"/>
      <c r="X246" s="79"/>
      <c r="Y246" s="79"/>
    </row>
    <row r="247" spans="2:27" x14ac:dyDescent="0.25">
      <c r="C247" s="88"/>
      <c r="D247"/>
      <c r="F247" s="37" t="s">
        <v>377</v>
      </c>
      <c r="G247" s="37" t="s">
        <v>271</v>
      </c>
      <c r="H247" s="37"/>
      <c r="I247" s="37"/>
      <c r="J247" s="81"/>
      <c r="K247" s="81"/>
      <c r="L247" s="81"/>
      <c r="M247" s="81"/>
      <c r="N247" s="81"/>
      <c r="O247" s="81"/>
      <c r="P247" s="81"/>
      <c r="Q247" s="81"/>
      <c r="R247" s="81"/>
      <c r="S247" s="81"/>
      <c r="T247" s="81"/>
      <c r="U247" s="81"/>
      <c r="V247" s="81"/>
      <c r="W247" s="81"/>
      <c r="X247" s="81"/>
      <c r="Y247" s="81"/>
    </row>
    <row r="248" spans="2:27" x14ac:dyDescent="0.25">
      <c r="C248" s="88"/>
      <c r="J248" s="89"/>
      <c r="K248" s="89"/>
      <c r="L248" s="89"/>
      <c r="M248" s="89"/>
      <c r="N248" s="89"/>
      <c r="O248" s="89"/>
      <c r="P248" s="89"/>
      <c r="Q248" s="89"/>
      <c r="R248" s="89"/>
      <c r="S248" s="89"/>
      <c r="T248" s="89"/>
      <c r="U248" s="89"/>
      <c r="V248" s="89"/>
      <c r="W248" s="89"/>
      <c r="X248" s="89"/>
      <c r="Y248" s="89"/>
    </row>
    <row r="249" spans="2:27" x14ac:dyDescent="0.25">
      <c r="B249" s="30" t="s">
        <v>707</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25">
      <c r="J250" s="89"/>
      <c r="K250" s="89"/>
      <c r="L250" s="89"/>
      <c r="M250" s="89"/>
      <c r="N250" s="89"/>
      <c r="O250" s="89"/>
      <c r="P250" s="89"/>
      <c r="Q250" s="89"/>
      <c r="R250" s="89"/>
      <c r="S250" s="89"/>
      <c r="T250" s="89"/>
      <c r="U250" s="89"/>
      <c r="V250" s="89"/>
      <c r="W250" s="89"/>
      <c r="X250" s="89"/>
      <c r="Y250" s="89"/>
    </row>
    <row r="251" spans="2:27" x14ac:dyDescent="0.25">
      <c r="B251" s="203"/>
      <c r="C251" s="29" t="s">
        <v>708</v>
      </c>
      <c r="D251"/>
      <c r="E251"/>
      <c r="J251" s="89"/>
      <c r="K251" s="89"/>
      <c r="L251" s="89"/>
      <c r="M251" s="89"/>
      <c r="N251" s="89"/>
      <c r="O251" s="89"/>
      <c r="P251" s="89"/>
      <c r="Q251" s="89"/>
      <c r="R251" s="89"/>
      <c r="S251" s="89"/>
      <c r="T251" s="89"/>
      <c r="U251" s="89"/>
      <c r="V251" s="89"/>
      <c r="W251" s="89"/>
      <c r="X251" s="89"/>
      <c r="Y251" s="89"/>
    </row>
    <row r="252" spans="2:27" x14ac:dyDescent="0.25">
      <c r="B252" s="203"/>
      <c r="C252" s="29" t="s">
        <v>709</v>
      </c>
      <c r="D252"/>
      <c r="E252"/>
      <c r="J252" s="89"/>
      <c r="K252" s="89"/>
      <c r="L252" s="89"/>
      <c r="M252" s="89"/>
      <c r="N252" s="89"/>
      <c r="O252" s="89"/>
      <c r="P252" s="89"/>
      <c r="Q252" s="89"/>
      <c r="R252" s="89"/>
      <c r="S252" s="89"/>
      <c r="T252" s="89"/>
      <c r="U252" s="89"/>
      <c r="V252" s="89"/>
      <c r="W252" s="89"/>
      <c r="X252" s="89"/>
      <c r="Y252" s="89"/>
    </row>
    <row r="253" spans="2:27" x14ac:dyDescent="0.25">
      <c r="J253" s="89"/>
      <c r="K253" s="89"/>
      <c r="L253" s="89"/>
      <c r="M253" s="89"/>
      <c r="N253" s="89"/>
      <c r="O253" s="89"/>
      <c r="P253" s="89"/>
      <c r="Q253" s="89"/>
      <c r="R253" s="89"/>
      <c r="S253" s="89"/>
      <c r="T253" s="89"/>
      <c r="U253" s="89"/>
      <c r="V253" s="89"/>
      <c r="W253" s="89"/>
      <c r="X253" s="89"/>
      <c r="Y253" s="89"/>
    </row>
    <row r="254" spans="2:27" x14ac:dyDescent="0.25">
      <c r="C254" s="31" t="str">
        <f ca="1">INDEX('Version control'!$H$34:$H$57,MATCH($A$1,'Version control'!$F$34:$F$57,0),1)&amp;"-F: Capacity and exceeded capacity charges"</f>
        <v>Section 113-F: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25">
      <c r="J255" s="89"/>
      <c r="K255" s="89"/>
      <c r="L255" s="89"/>
      <c r="M255" s="89"/>
      <c r="N255" s="89"/>
      <c r="O255" s="89"/>
      <c r="P255" s="89"/>
      <c r="Q255" s="89"/>
      <c r="R255" s="89"/>
      <c r="S255" s="89"/>
      <c r="T255" s="89"/>
      <c r="U255" s="89"/>
      <c r="V255" s="89"/>
      <c r="W255" s="89"/>
      <c r="X255" s="89"/>
      <c r="Y255" s="89"/>
    </row>
    <row r="256" spans="2:27" x14ac:dyDescent="0.25">
      <c r="E256" t="s">
        <v>710</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5.1440159705455697</v>
      </c>
      <c r="O256" s="121">
        <f t="shared" si="290"/>
        <v>8.3306434828431062</v>
      </c>
      <c r="P256" s="121">
        <f t="shared" si="290"/>
        <v>11.113457295581</v>
      </c>
      <c r="Q256" s="121">
        <f t="shared" ref="Q256" si="291">SUM(Q192:Q203,Q206:Q217)</f>
        <v>0</v>
      </c>
      <c r="R256" s="79"/>
      <c r="S256" s="79"/>
      <c r="T256" s="79"/>
      <c r="U256" s="79"/>
      <c r="V256" s="79"/>
      <c r="W256" s="79"/>
      <c r="X256" s="79"/>
      <c r="Y256" s="79"/>
      <c r="AA256" t="s">
        <v>711</v>
      </c>
    </row>
    <row r="257" spans="3:27" x14ac:dyDescent="0.25">
      <c r="E257" t="s">
        <v>712</v>
      </c>
      <c r="G257" t="s">
        <v>271</v>
      </c>
      <c r="I257" t="s">
        <v>154</v>
      </c>
      <c r="J257" s="121">
        <f t="shared" ref="J257:K257" si="292">SUM(J222:J233,J236:J247)</f>
        <v>0</v>
      </c>
      <c r="K257" s="121">
        <f t="shared" si="292"/>
        <v>0</v>
      </c>
      <c r="L257" s="121">
        <f t="shared" ref="L257:M257" si="293">SUM(L222:L233,L236:L247)</f>
        <v>0</v>
      </c>
      <c r="M257" s="121">
        <f t="shared" si="293"/>
        <v>0</v>
      </c>
      <c r="N257" s="121">
        <f t="shared" ref="N257:P257" si="294">SUM(N222:N233,N236:N247)</f>
        <v>9.1762338963144749</v>
      </c>
      <c r="O257" s="121">
        <f t="shared" si="294"/>
        <v>11.393186401103572</v>
      </c>
      <c r="P257" s="121">
        <f t="shared" si="294"/>
        <v>13.027486250063824</v>
      </c>
      <c r="Q257" s="121">
        <f t="shared" ref="Q257" si="295">SUM(Q222:Q233,Q236:Q247)</f>
        <v>0</v>
      </c>
      <c r="R257" s="79"/>
      <c r="S257" s="79"/>
      <c r="T257" s="79"/>
      <c r="U257" s="79"/>
      <c r="V257" s="79"/>
      <c r="W257" s="79"/>
      <c r="X257" s="79"/>
      <c r="Y257" s="79"/>
      <c r="AA257" t="s">
        <v>711</v>
      </c>
    </row>
    <row r="258" spans="3:27" x14ac:dyDescent="0.25">
      <c r="C258" s="88"/>
      <c r="J258" s="89"/>
      <c r="K258" s="89"/>
      <c r="L258" s="89"/>
      <c r="M258" s="89"/>
      <c r="N258" s="89"/>
      <c r="O258" s="89"/>
      <c r="P258" s="89"/>
      <c r="Q258" s="89"/>
      <c r="R258" s="89"/>
      <c r="S258" s="89"/>
      <c r="T258" s="89"/>
      <c r="U258" s="89"/>
      <c r="V258" s="89"/>
      <c r="W258" s="89"/>
      <c r="X258" s="89"/>
      <c r="Y258" s="89"/>
    </row>
    <row r="259" spans="3:27" x14ac:dyDescent="0.25">
      <c r="C259" s="31" t="str">
        <f ca="1">INDEX('Version control'!$H$34:$H$57,MATCH($A$1,'Version control'!$F$34:$F$57,0),1)&amp;"-G: Capacity elements allocated to fixed charges"</f>
        <v>Section 113-G: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25">
      <c r="D260" s="32"/>
      <c r="E260" s="32"/>
      <c r="I260" t="s">
        <v>154</v>
      </c>
      <c r="J260" s="89"/>
      <c r="K260" s="89"/>
      <c r="L260" s="89"/>
      <c r="M260" s="89"/>
      <c r="N260" s="89"/>
      <c r="O260" s="89"/>
      <c r="P260" s="89"/>
      <c r="Q260" s="89"/>
      <c r="R260" s="89"/>
      <c r="S260" s="89"/>
      <c r="T260" s="89"/>
      <c r="U260" s="89"/>
      <c r="V260" s="89"/>
      <c r="W260" s="89"/>
      <c r="X260" s="89"/>
      <c r="Y260" s="89"/>
      <c r="AA260" t="s">
        <v>713</v>
      </c>
    </row>
    <row r="261" spans="3:27" x14ac:dyDescent="0.25">
      <c r="C261" s="88"/>
      <c r="D261"/>
      <c r="E261" s="32" t="s">
        <v>621</v>
      </c>
      <c r="J261" s="89"/>
      <c r="K261" s="89"/>
      <c r="L261" s="89"/>
      <c r="M261" s="89"/>
      <c r="N261" s="89"/>
      <c r="O261" s="89"/>
      <c r="P261" s="89"/>
      <c r="Q261" s="89"/>
      <c r="R261" s="89"/>
      <c r="S261" s="89"/>
      <c r="T261" s="89"/>
      <c r="U261" s="89"/>
      <c r="V261" s="89"/>
      <c r="W261" s="89"/>
      <c r="X261" s="89"/>
      <c r="Y261" s="89"/>
    </row>
    <row r="262" spans="3:27" x14ac:dyDescent="0.25">
      <c r="C262" s="88"/>
      <c r="D262"/>
      <c r="F262" s="23" t="s">
        <v>189</v>
      </c>
      <c r="G262" s="23" t="s">
        <v>271</v>
      </c>
      <c r="H262" s="23"/>
      <c r="I262" s="23"/>
      <c r="J262" s="83"/>
      <c r="K262" s="83"/>
      <c r="L262" s="83"/>
      <c r="M262" s="83"/>
      <c r="N262" s="83"/>
      <c r="O262" s="83"/>
      <c r="P262" s="83"/>
      <c r="Q262" s="83"/>
      <c r="R262" s="83"/>
      <c r="S262" s="83"/>
      <c r="T262" s="83"/>
      <c r="U262" s="83"/>
      <c r="V262" s="83"/>
      <c r="W262" s="83"/>
      <c r="X262" s="83"/>
      <c r="Y262" s="83"/>
    </row>
    <row r="263" spans="3:27" x14ac:dyDescent="0.25">
      <c r="C263" s="88"/>
      <c r="D263"/>
      <c r="F263" t="s">
        <v>191</v>
      </c>
      <c r="G263" t="s">
        <v>271</v>
      </c>
      <c r="J263" s="79"/>
      <c r="K263" s="79"/>
      <c r="L263" s="79"/>
      <c r="M263" s="79"/>
      <c r="N263" s="79"/>
      <c r="O263" s="79"/>
      <c r="P263" s="79"/>
      <c r="Q263" s="79"/>
      <c r="R263" s="79"/>
      <c r="S263" s="79"/>
      <c r="T263" s="79"/>
      <c r="U263" s="79"/>
      <c r="V263" s="79"/>
      <c r="W263" s="79"/>
      <c r="X263" s="79"/>
      <c r="Y263" s="79"/>
    </row>
    <row r="264" spans="3:27" x14ac:dyDescent="0.25">
      <c r="C264" s="88"/>
      <c r="D264"/>
      <c r="F264" t="s">
        <v>192</v>
      </c>
      <c r="G264" t="s">
        <v>271</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25">
      <c r="C265" s="88"/>
      <c r="D265"/>
      <c r="F265" t="s">
        <v>193</v>
      </c>
      <c r="G265" t="s">
        <v>271</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25">
      <c r="C266" s="88"/>
      <c r="D266"/>
      <c r="F266" t="s">
        <v>194</v>
      </c>
      <c r="G266" t="s">
        <v>271</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25">
      <c r="C267" s="88"/>
      <c r="D267"/>
      <c r="F267" t="s">
        <v>195</v>
      </c>
      <c r="G267" t="s">
        <v>271</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25">
      <c r="C268" s="88"/>
      <c r="D268"/>
      <c r="F268" t="s">
        <v>196</v>
      </c>
      <c r="G268" t="s">
        <v>271</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25">
      <c r="C269" s="88"/>
      <c r="D269"/>
      <c r="F269" t="s">
        <v>197</v>
      </c>
      <c r="G269" t="s">
        <v>271</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25">
      <c r="C270" s="88"/>
      <c r="D270"/>
      <c r="F270" t="s">
        <v>198</v>
      </c>
      <c r="G270" t="s">
        <v>271</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25">
      <c r="C271" s="88"/>
      <c r="D271"/>
      <c r="F271" t="s">
        <v>199</v>
      </c>
      <c r="G271" t="s">
        <v>271</v>
      </c>
      <c r="J271" s="121">
        <f t="shared" ref="J271:K271" si="324">J$123 * J141</f>
        <v>9.0150086990667275E-2</v>
      </c>
      <c r="K271" s="121">
        <f t="shared" si="324"/>
        <v>0</v>
      </c>
      <c r="L271" s="121">
        <f t="shared" ref="L271:M271" si="325">L$123 * L141</f>
        <v>9.0150086990667275E-2</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25">
      <c r="C272" s="88"/>
      <c r="D272"/>
      <c r="F272" t="s">
        <v>376</v>
      </c>
      <c r="G272" t="s">
        <v>271</v>
      </c>
      <c r="J272" s="79"/>
      <c r="K272" s="79"/>
      <c r="L272" s="79"/>
      <c r="M272" s="79"/>
      <c r="N272" s="79"/>
      <c r="O272" s="79"/>
      <c r="P272" s="79"/>
      <c r="Q272" s="79"/>
      <c r="R272" s="79"/>
      <c r="S272" s="79"/>
      <c r="T272" s="79"/>
      <c r="U272" s="79"/>
      <c r="V272" s="79"/>
      <c r="W272" s="79"/>
      <c r="X272" s="79"/>
      <c r="Y272" s="79"/>
    </row>
    <row r="273" spans="3:25" x14ac:dyDescent="0.25">
      <c r="C273" s="88"/>
      <c r="D273"/>
      <c r="F273" s="37" t="s">
        <v>377</v>
      </c>
      <c r="G273" s="37" t="s">
        <v>271</v>
      </c>
      <c r="H273" s="37"/>
      <c r="I273" s="37"/>
      <c r="J273" s="81"/>
      <c r="K273" s="81"/>
      <c r="L273" s="81"/>
      <c r="M273" s="81"/>
      <c r="N273" s="81"/>
      <c r="O273" s="81"/>
      <c r="P273" s="81"/>
      <c r="Q273" s="81"/>
      <c r="R273" s="81"/>
      <c r="S273" s="81"/>
      <c r="T273" s="81"/>
      <c r="U273" s="81"/>
      <c r="V273" s="81"/>
      <c r="W273" s="81"/>
      <c r="X273" s="81"/>
      <c r="Y273" s="81"/>
    </row>
    <row r="274" spans="3:25" x14ac:dyDescent="0.25">
      <c r="C274" s="88"/>
      <c r="D274"/>
      <c r="J274" s="89"/>
      <c r="K274" s="89"/>
      <c r="L274" s="89"/>
      <c r="M274" s="89"/>
      <c r="N274" s="89"/>
      <c r="O274" s="89"/>
      <c r="P274" s="89"/>
      <c r="Q274" s="89"/>
      <c r="R274" s="89"/>
      <c r="S274" s="89"/>
      <c r="T274" s="89"/>
      <c r="U274" s="89"/>
      <c r="V274" s="89"/>
      <c r="W274" s="89"/>
      <c r="X274" s="89"/>
      <c r="Y274" s="89"/>
    </row>
    <row r="275" spans="3:25" x14ac:dyDescent="0.25">
      <c r="C275" s="88"/>
      <c r="D275"/>
      <c r="E275" s="32" t="s">
        <v>714</v>
      </c>
      <c r="J275" s="89"/>
      <c r="K275" s="89"/>
      <c r="L275" s="89"/>
      <c r="M275" s="89"/>
      <c r="N275" s="89"/>
      <c r="O275" s="89"/>
      <c r="P275" s="89"/>
      <c r="Q275" s="89"/>
      <c r="R275" s="89"/>
      <c r="S275" s="89"/>
      <c r="T275" s="89"/>
      <c r="U275" s="89"/>
      <c r="V275" s="89"/>
      <c r="W275" s="89"/>
      <c r="X275" s="89"/>
      <c r="Y275" s="89"/>
    </row>
    <row r="276" spans="3:25" x14ac:dyDescent="0.25">
      <c r="C276" s="88"/>
      <c r="D276"/>
      <c r="F276" s="23" t="s">
        <v>189</v>
      </c>
      <c r="G276" s="23" t="s">
        <v>271</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25">
      <c r="C277" s="88"/>
      <c r="D277"/>
      <c r="F277" t="s">
        <v>191</v>
      </c>
      <c r="G277" t="s">
        <v>271</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25">
      <c r="C278" s="88"/>
      <c r="D278"/>
      <c r="F278" t="s">
        <v>192</v>
      </c>
      <c r="G278" t="s">
        <v>271</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25">
      <c r="C279" s="88"/>
      <c r="D279"/>
      <c r="F279" t="s">
        <v>193</v>
      </c>
      <c r="G279" t="s">
        <v>271</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25">
      <c r="C280" s="88"/>
      <c r="D280"/>
      <c r="F280" t="s">
        <v>194</v>
      </c>
      <c r="G280" t="s">
        <v>271</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25">
      <c r="C281" s="88"/>
      <c r="D281"/>
      <c r="F281" t="s">
        <v>195</v>
      </c>
      <c r="G281" t="s">
        <v>271</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25">
      <c r="C282" s="88"/>
      <c r="D282"/>
      <c r="F282" t="s">
        <v>196</v>
      </c>
      <c r="G282" t="s">
        <v>271</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25">
      <c r="C283" s="88"/>
      <c r="D283"/>
      <c r="F283" t="s">
        <v>197</v>
      </c>
      <c r="G283" t="s">
        <v>271</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25">
      <c r="C284" s="88"/>
      <c r="D284"/>
      <c r="F284" t="s">
        <v>198</v>
      </c>
      <c r="G284" t="s">
        <v>271</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25">
      <c r="C285" s="88"/>
      <c r="D285"/>
      <c r="F285" t="s">
        <v>199</v>
      </c>
      <c r="G285" t="s">
        <v>271</v>
      </c>
      <c r="J285" s="121">
        <f t="shared" ref="J285:K285" si="364">J$123 * J155</f>
        <v>2.2799050930396323</v>
      </c>
      <c r="K285" s="121">
        <f t="shared" si="364"/>
        <v>0</v>
      </c>
      <c r="L285" s="121">
        <f t="shared" ref="L285:M285" si="365">L$123 * L155</f>
        <v>2.2799050930396323</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25">
      <c r="C286" s="88"/>
      <c r="D286"/>
      <c r="F286" t="s">
        <v>376</v>
      </c>
      <c r="G286" t="s">
        <v>271</v>
      </c>
      <c r="J286" s="79"/>
      <c r="K286" s="79"/>
      <c r="L286" s="79"/>
      <c r="M286" s="79"/>
      <c r="N286" s="79"/>
      <c r="O286" s="79"/>
      <c r="P286" s="79"/>
      <c r="Q286" s="79"/>
      <c r="R286" s="79"/>
      <c r="S286" s="79"/>
      <c r="T286" s="79"/>
      <c r="U286" s="79"/>
      <c r="V286" s="79"/>
      <c r="W286" s="79"/>
      <c r="X286" s="79"/>
      <c r="Y286" s="79"/>
    </row>
    <row r="287" spans="3:25" x14ac:dyDescent="0.25">
      <c r="C287" s="88"/>
      <c r="D287"/>
      <c r="F287" s="37" t="s">
        <v>377</v>
      </c>
      <c r="G287" s="37" t="s">
        <v>271</v>
      </c>
      <c r="H287" s="37"/>
      <c r="I287" s="37"/>
      <c r="J287" s="81"/>
      <c r="K287" s="81"/>
      <c r="L287" s="81"/>
      <c r="M287" s="81"/>
      <c r="N287" s="81"/>
      <c r="O287" s="81"/>
      <c r="P287" s="81"/>
      <c r="Q287" s="81"/>
      <c r="R287" s="81"/>
      <c r="S287" s="81"/>
      <c r="T287" s="81"/>
      <c r="U287" s="81"/>
      <c r="V287" s="81"/>
      <c r="W287" s="81"/>
      <c r="X287" s="81"/>
      <c r="Y287" s="81"/>
    </row>
    <row r="288" spans="3:25" x14ac:dyDescent="0.25">
      <c r="C288" s="88"/>
    </row>
    <row r="289" spans="2:27" x14ac:dyDescent="0.25">
      <c r="B289" s="30" t="s">
        <v>231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25">
      <c r="C291" s="88"/>
      <c r="E291" t="s">
        <v>232</v>
      </c>
      <c r="G291" s="6" t="s">
        <v>55</v>
      </c>
      <c r="H291" s="187">
        <f t="array" ref="H291">SUM(IF(ISERROR(H51:Y287), 1))</f>
        <v>0</v>
      </c>
    </row>
    <row r="293" spans="2:27" x14ac:dyDescent="0.25">
      <c r="E293" t="s">
        <v>715</v>
      </c>
      <c r="G293" s="6" t="s">
        <v>55</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25">
      <c r="C295" s="88"/>
      <c r="E295" t="s">
        <v>239</v>
      </c>
      <c r="G295" s="6" t="s">
        <v>55</v>
      </c>
      <c r="H295" s="26">
        <f>H291 + H293</f>
        <v>0</v>
      </c>
    </row>
    <row r="297" spans="2:27" x14ac:dyDescent="0.25">
      <c r="B297" s="30" t="s">
        <v>106</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69" priority="21" operator="greaterThan">
      <formula>0</formula>
    </cfRule>
  </conditionalFormatting>
  <conditionalFormatting sqref="H293">
    <cfRule type="cellIs" dxfId="68" priority="20" operator="greaterThan">
      <formula>0</formula>
    </cfRule>
  </conditionalFormatting>
  <conditionalFormatting sqref="H295">
    <cfRule type="cellIs" dxfId="67" priority="18" operator="greaterThan">
      <formula>0</formula>
    </cfRule>
  </conditionalFormatting>
  <conditionalFormatting sqref="A4:I4 Z4:XFD4">
    <cfRule type="expression" dxfId="66" priority="17">
      <formula>LEFT($A$4,1) &lt;&gt; "0"</formula>
    </cfRule>
  </conditionalFormatting>
  <conditionalFormatting sqref="N293:P293">
    <cfRule type="cellIs" dxfId="65" priority="16" operator="greaterThan">
      <formula>0</formula>
    </cfRule>
  </conditionalFormatting>
  <conditionalFormatting sqref="N4:P4">
    <cfRule type="expression" dxfId="64" priority="15">
      <formula>LEFT($A$4,1) &lt;&gt; "0"</formula>
    </cfRule>
  </conditionalFormatting>
  <conditionalFormatting sqref="L293:M293">
    <cfRule type="cellIs" dxfId="63" priority="14" operator="greaterThan">
      <formula>0</formula>
    </cfRule>
  </conditionalFormatting>
  <conditionalFormatting sqref="L4:M4">
    <cfRule type="expression" dxfId="62" priority="13">
      <formula>LEFT($A$4,1) &lt;&gt; "0"</formula>
    </cfRule>
  </conditionalFormatting>
  <conditionalFormatting sqref="J293:K293">
    <cfRule type="cellIs" dxfId="61" priority="12" operator="greaterThan">
      <formula>0</formula>
    </cfRule>
  </conditionalFormatting>
  <conditionalFormatting sqref="J4:K4">
    <cfRule type="expression" dxfId="60" priority="11">
      <formula>LEFT($A$4,1) &lt;&gt; "0"</formula>
    </cfRule>
  </conditionalFormatting>
  <conditionalFormatting sqref="Q293">
    <cfRule type="cellIs" dxfId="59" priority="10" operator="greaterThan">
      <formula>0</formula>
    </cfRule>
  </conditionalFormatting>
  <conditionalFormatting sqref="Q4">
    <cfRule type="expression" dxfId="58" priority="9">
      <formula>LEFT($A$4,1) &lt;&gt; "0"</formula>
    </cfRule>
  </conditionalFormatting>
  <conditionalFormatting sqref="R293:S293">
    <cfRule type="cellIs" dxfId="57" priority="8" operator="greaterThan">
      <formula>0</formula>
    </cfRule>
  </conditionalFormatting>
  <conditionalFormatting sqref="R4:S4">
    <cfRule type="expression" dxfId="56" priority="7">
      <formula>LEFT($A$4,1) &lt;&gt; "0"</formula>
    </cfRule>
  </conditionalFormatting>
  <conditionalFormatting sqref="T293:U293">
    <cfRule type="cellIs" dxfId="55" priority="6" operator="greaterThan">
      <formula>0</formula>
    </cfRule>
  </conditionalFormatting>
  <conditionalFormatting sqref="T4:U4">
    <cfRule type="expression" dxfId="54" priority="5">
      <formula>LEFT($A$4,1) &lt;&gt; "0"</formula>
    </cfRule>
  </conditionalFormatting>
  <conditionalFormatting sqref="V293:W293">
    <cfRule type="cellIs" dxfId="53" priority="4" operator="greaterThan">
      <formula>0</formula>
    </cfRule>
  </conditionalFormatting>
  <conditionalFormatting sqref="V4:W4">
    <cfRule type="expression" dxfId="52" priority="3">
      <formula>LEFT($A$4,1) &lt;&gt; "0"</formula>
    </cfRule>
  </conditionalFormatting>
  <conditionalFormatting sqref="X293:Y293">
    <cfRule type="cellIs" dxfId="51" priority="2" operator="greaterThan">
      <formula>0</formula>
    </cfRule>
  </conditionalFormatting>
  <conditionalFormatting sqref="X4:Y4">
    <cfRule type="expression" dxfId="50" priority="1">
      <formula>LEFT($A$4,1) &lt;&gt; "0"</formula>
    </cfRule>
  </conditionalFormatting>
  <hyperlinks>
    <hyperlink ref="B5:F5" location="'Model map'!A1" display="Click here to return to model map" xr:uid="{00000000-0004-0000-15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4" tint="0.59999389629810485"/>
    <pageSetUpPr fitToPage="1"/>
  </sheetPr>
  <dimension ref="A1:KZ16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Fixed charges</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H165 &amp; IF(H165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D9" s="29" t="s">
        <v>716</v>
      </c>
      <c r="E9"/>
    </row>
    <row r="10" spans="1:27" x14ac:dyDescent="0.25">
      <c r="D10" s="91" t="s">
        <v>717</v>
      </c>
      <c r="E10"/>
    </row>
    <row r="11" spans="1:27" x14ac:dyDescent="0.25">
      <c r="D11" s="29" t="s">
        <v>718</v>
      </c>
      <c r="E11"/>
    </row>
    <row r="12" spans="1:27" x14ac:dyDescent="0.25">
      <c r="D12" s="91" t="s">
        <v>719</v>
      </c>
      <c r="E12"/>
    </row>
    <row r="14" spans="1:27" x14ac:dyDescent="0.25">
      <c r="B14" s="30" t="s">
        <v>720</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25">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25">
      <c r="D17"/>
      <c r="E17" s="32"/>
      <c r="I17" t="s">
        <v>154</v>
      </c>
      <c r="AA17" t="s">
        <v>721</v>
      </c>
    </row>
    <row r="18" spans="3:27" x14ac:dyDescent="0.25">
      <c r="C18" s="88"/>
      <c r="E18" t="s">
        <v>549</v>
      </c>
      <c r="G18" t="s">
        <v>212</v>
      </c>
      <c r="J18" s="120">
        <f>'Volume adjustments'!J103</f>
        <v>714246.25092537317</v>
      </c>
      <c r="K18" s="120">
        <f>'Volume adjustments'!K103</f>
        <v>70461.662878625808</v>
      </c>
      <c r="L18" s="120">
        <f>'Volume adjustments'!L103</f>
        <v>73679.769660750448</v>
      </c>
      <c r="M18" s="120">
        <f>'Volume adjustments'!M103</f>
        <v>2784.9059115721761</v>
      </c>
      <c r="N18" s="120">
        <f>'Volume adjustments'!N103</f>
        <v>6693.0816317456884</v>
      </c>
      <c r="O18" s="120">
        <f>'Volume adjustments'!O103</f>
        <v>111.81645052702237</v>
      </c>
      <c r="P18" s="120">
        <f>'Volume adjustments'!P103</f>
        <v>693.26526408438758</v>
      </c>
      <c r="Q18" s="120">
        <f>'Volume adjustments'!Q103</f>
        <v>2084.8369098714279</v>
      </c>
      <c r="R18" s="120">
        <f>'Volume adjustments'!R103</f>
        <v>351.61290322580641</v>
      </c>
      <c r="S18" s="120">
        <f>'Volume adjustments'!S103</f>
        <v>1</v>
      </c>
      <c r="T18" s="120">
        <f>'Volume adjustments'!T103</f>
        <v>775.9677419354847</v>
      </c>
      <c r="U18" s="120">
        <f>'Volume adjustments'!U103</f>
        <v>0</v>
      </c>
      <c r="V18" s="120">
        <f>'Volume adjustments'!V103</f>
        <v>1.9999999999999989</v>
      </c>
      <c r="W18" s="120">
        <f>'Volume adjustments'!W103</f>
        <v>0</v>
      </c>
      <c r="X18" s="120">
        <f>'Volume adjustments'!X103</f>
        <v>355.55640880208517</v>
      </c>
      <c r="Y18" s="120">
        <f>'Volume adjustments'!Y103</f>
        <v>0</v>
      </c>
    </row>
    <row r="19" spans="3:27" x14ac:dyDescent="0.25">
      <c r="C19" s="88"/>
      <c r="E19"/>
      <c r="J19" s="120"/>
      <c r="K19" s="120"/>
      <c r="L19" s="120"/>
      <c r="M19" s="120"/>
      <c r="N19" s="120"/>
      <c r="O19" s="120"/>
      <c r="P19" s="120"/>
      <c r="Q19" s="120"/>
      <c r="R19" s="120"/>
      <c r="S19" s="120"/>
      <c r="T19" s="120"/>
      <c r="U19" s="120"/>
      <c r="V19" s="120"/>
      <c r="W19" s="120"/>
      <c r="X19" s="120"/>
      <c r="Y19" s="120"/>
    </row>
    <row r="20" spans="3:27" x14ac:dyDescent="0.25">
      <c r="C20" s="88"/>
      <c r="E20" t="s">
        <v>471</v>
      </c>
      <c r="G20" t="s">
        <v>172</v>
      </c>
      <c r="H20" s="63"/>
      <c r="J20" s="120">
        <f>'System peak demand'!J200</f>
        <v>686.27857053072728</v>
      </c>
      <c r="K20" s="120">
        <f>'System peak demand'!K200</f>
        <v>230.78406952669062</v>
      </c>
      <c r="L20" s="120">
        <f>'System peak demand'!L200</f>
        <v>267.71956108527553</v>
      </c>
      <c r="M20" s="120">
        <f>'System peak demand'!M200</f>
        <v>18.268212375416237</v>
      </c>
      <c r="N20" s="120">
        <f>'System peak demand'!N200</f>
        <v>287.57695641980018</v>
      </c>
      <c r="O20" s="120">
        <f>'System peak demand'!O200</f>
        <v>19.529194835466289</v>
      </c>
      <c r="P20" s="120">
        <f>'System peak demand'!P200</f>
        <v>131.59898850066523</v>
      </c>
      <c r="Q20" s="120">
        <f>'System peak demand'!Q200</f>
        <v>22.114180842603563</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25">
      <c r="J21" s="89"/>
      <c r="K21" s="89"/>
      <c r="L21" s="89"/>
      <c r="M21" s="89"/>
      <c r="N21" s="89"/>
      <c r="O21" s="89"/>
      <c r="P21" s="89"/>
      <c r="Q21" s="89"/>
      <c r="R21" s="89"/>
      <c r="S21" s="89"/>
      <c r="T21" s="89"/>
      <c r="U21" s="89"/>
      <c r="V21" s="89"/>
      <c r="W21" s="89"/>
      <c r="X21" s="89"/>
      <c r="Y21" s="89"/>
    </row>
    <row r="22" spans="3:27" x14ac:dyDescent="0.25">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25">
      <c r="D23"/>
      <c r="E23" s="32"/>
      <c r="I23" t="s">
        <v>154</v>
      </c>
      <c r="J23" s="89"/>
      <c r="K23" s="89"/>
      <c r="L23" s="89"/>
      <c r="M23" s="89"/>
      <c r="N23" s="89"/>
      <c r="O23" s="89"/>
      <c r="P23" s="89"/>
      <c r="Q23" s="89"/>
      <c r="R23" s="89"/>
      <c r="S23" s="89"/>
      <c r="T23" s="89"/>
      <c r="U23" s="89"/>
      <c r="V23" s="89"/>
      <c r="W23" s="89"/>
      <c r="X23" s="89"/>
      <c r="Y23" s="89"/>
      <c r="AA23" t="s">
        <v>721</v>
      </c>
    </row>
    <row r="24" spans="3:27" x14ac:dyDescent="0.25">
      <c r="C24" s="88"/>
      <c r="E24" s="32" t="s">
        <v>621</v>
      </c>
      <c r="J24" s="89"/>
      <c r="K24" s="89"/>
      <c r="L24" s="89"/>
      <c r="M24" s="89"/>
      <c r="N24" s="89"/>
      <c r="O24" s="89"/>
      <c r="P24" s="89"/>
      <c r="Q24" s="89"/>
      <c r="R24" s="89"/>
      <c r="S24" s="89"/>
      <c r="T24" s="89"/>
      <c r="U24" s="89"/>
      <c r="V24" s="89"/>
      <c r="W24" s="89"/>
      <c r="X24" s="89"/>
      <c r="Y24" s="89"/>
    </row>
    <row r="25" spans="3:27" x14ac:dyDescent="0.25">
      <c r="C25" s="88"/>
      <c r="E25" s="29"/>
      <c r="F25" s="23" t="s">
        <v>189</v>
      </c>
      <c r="G25" s="23" t="s">
        <v>271</v>
      </c>
      <c r="H25" s="23"/>
      <c r="I25" s="23"/>
      <c r="J25" s="83"/>
      <c r="K25" s="83"/>
      <c r="L25" s="83"/>
      <c r="M25" s="83"/>
      <c r="N25" s="83"/>
      <c r="O25" s="83"/>
      <c r="P25" s="83"/>
      <c r="Q25" s="83"/>
      <c r="R25" s="83"/>
      <c r="S25" s="83"/>
      <c r="T25" s="83"/>
      <c r="U25" s="83"/>
      <c r="V25" s="83"/>
      <c r="W25" s="83"/>
      <c r="X25" s="83"/>
      <c r="Y25" s="83"/>
    </row>
    <row r="26" spans="3:27" x14ac:dyDescent="0.25">
      <c r="C26" s="88"/>
      <c r="E26" s="29"/>
      <c r="F26" t="s">
        <v>191</v>
      </c>
      <c r="G26" t="s">
        <v>271</v>
      </c>
      <c r="J26" s="79"/>
      <c r="K26" s="79"/>
      <c r="L26" s="79"/>
      <c r="M26" s="79"/>
      <c r="N26" s="79"/>
      <c r="O26" s="79"/>
      <c r="P26" s="79"/>
      <c r="Q26" s="79"/>
      <c r="R26" s="79"/>
      <c r="S26" s="79"/>
      <c r="T26" s="79"/>
      <c r="U26" s="79"/>
      <c r="V26" s="79"/>
      <c r="W26" s="79"/>
      <c r="X26" s="79"/>
      <c r="Y26" s="79"/>
    </row>
    <row r="27" spans="3:27" x14ac:dyDescent="0.25">
      <c r="C27" s="88"/>
      <c r="E27" s="29"/>
      <c r="F27" t="s">
        <v>192</v>
      </c>
      <c r="G27" t="s">
        <v>271</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25">
      <c r="C28" s="88"/>
      <c r="E28" s="29"/>
      <c r="F28" t="s">
        <v>193</v>
      </c>
      <c r="G28" t="s">
        <v>271</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25">
      <c r="C29" s="88"/>
      <c r="E29" s="29"/>
      <c r="F29" t="s">
        <v>194</v>
      </c>
      <c r="G29" t="s">
        <v>271</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25">
      <c r="C30" s="88"/>
      <c r="E30" s="29"/>
      <c r="F30" t="s">
        <v>195</v>
      </c>
      <c r="G30" t="s">
        <v>271</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25">
      <c r="C31" s="88"/>
      <c r="E31" s="29"/>
      <c r="F31" t="s">
        <v>196</v>
      </c>
      <c r="G31" t="s">
        <v>271</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25">
      <c r="C32" s="88"/>
      <c r="E32" s="29"/>
      <c r="F32" t="s">
        <v>197</v>
      </c>
      <c r="G32" t="s">
        <v>271</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25">
      <c r="C33" s="88"/>
      <c r="E33" s="29"/>
      <c r="F33" t="s">
        <v>198</v>
      </c>
      <c r="G33" t="s">
        <v>271</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25">
      <c r="C34" s="88"/>
      <c r="E34" s="29"/>
      <c r="F34" t="s">
        <v>199</v>
      </c>
      <c r="G34" t="s">
        <v>271</v>
      </c>
      <c r="J34" s="120">
        <f>'Capacity charges'!J271</f>
        <v>9.0150086990667275E-2</v>
      </c>
      <c r="K34" s="120">
        <f>'Capacity charges'!K271</f>
        <v>0</v>
      </c>
      <c r="L34" s="120">
        <f>'Capacity charges'!L271</f>
        <v>9.0150086990667275E-2</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25">
      <c r="C35" s="88"/>
      <c r="E35" s="29"/>
      <c r="F35" t="s">
        <v>376</v>
      </c>
      <c r="G35" t="s">
        <v>271</v>
      </c>
      <c r="J35" s="79"/>
      <c r="K35" s="79"/>
      <c r="L35" s="79"/>
      <c r="M35" s="79"/>
      <c r="N35" s="79"/>
      <c r="O35" s="79"/>
      <c r="P35" s="79"/>
      <c r="Q35" s="79"/>
      <c r="R35" s="79"/>
      <c r="S35" s="79"/>
      <c r="T35" s="79"/>
      <c r="U35" s="79"/>
      <c r="V35" s="79"/>
      <c r="W35" s="79"/>
      <c r="X35" s="79"/>
      <c r="Y35" s="79"/>
    </row>
    <row r="36" spans="3:25" x14ac:dyDescent="0.25">
      <c r="C36" s="88"/>
      <c r="E36" s="29"/>
      <c r="F36" s="37" t="s">
        <v>377</v>
      </c>
      <c r="G36" s="37" t="s">
        <v>271</v>
      </c>
      <c r="H36" s="37"/>
      <c r="I36" s="37"/>
      <c r="J36" s="81"/>
      <c r="K36" s="81"/>
      <c r="L36" s="81"/>
      <c r="M36" s="81"/>
      <c r="N36" s="81"/>
      <c r="O36" s="81"/>
      <c r="P36" s="81"/>
      <c r="Q36" s="81"/>
      <c r="R36" s="81"/>
      <c r="S36" s="81"/>
      <c r="T36" s="81"/>
      <c r="U36" s="81"/>
      <c r="V36" s="81"/>
      <c r="W36" s="81"/>
      <c r="X36" s="81"/>
      <c r="Y36" s="81"/>
    </row>
    <row r="37" spans="3:25" x14ac:dyDescent="0.25">
      <c r="C37" s="88"/>
      <c r="D37"/>
      <c r="E37" s="29"/>
      <c r="J37" s="89"/>
      <c r="K37" s="89"/>
      <c r="L37" s="89"/>
      <c r="M37" s="89"/>
      <c r="N37" s="89"/>
      <c r="O37" s="89"/>
      <c r="P37" s="89"/>
      <c r="Q37" s="89"/>
      <c r="R37" s="89"/>
      <c r="S37" s="89"/>
      <c r="T37" s="89"/>
      <c r="U37" s="89"/>
      <c r="V37" s="89"/>
      <c r="W37" s="89"/>
      <c r="X37" s="89"/>
      <c r="Y37" s="89"/>
    </row>
    <row r="38" spans="3:25" x14ac:dyDescent="0.25">
      <c r="C38" s="88"/>
      <c r="E38" s="32" t="s">
        <v>622</v>
      </c>
      <c r="J38" s="89"/>
      <c r="K38" s="89"/>
      <c r="L38" s="89"/>
      <c r="M38" s="89"/>
      <c r="N38" s="89"/>
      <c r="O38" s="89"/>
      <c r="P38" s="89"/>
      <c r="Q38" s="89"/>
      <c r="R38" s="89"/>
      <c r="S38" s="89"/>
      <c r="T38" s="89"/>
      <c r="U38" s="89"/>
      <c r="V38" s="89"/>
      <c r="W38" s="89"/>
      <c r="X38" s="89"/>
      <c r="Y38" s="89"/>
    </row>
    <row r="39" spans="3:25" x14ac:dyDescent="0.25">
      <c r="C39" s="88"/>
      <c r="F39" s="23" t="s">
        <v>189</v>
      </c>
      <c r="G39" s="23" t="s">
        <v>271</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25">
      <c r="C40" s="88"/>
      <c r="F40" t="s">
        <v>191</v>
      </c>
      <c r="G40" t="s">
        <v>271</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25">
      <c r="C41" s="88"/>
      <c r="F41" t="s">
        <v>192</v>
      </c>
      <c r="G41" t="s">
        <v>271</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25">
      <c r="C42" s="88"/>
      <c r="F42" t="s">
        <v>193</v>
      </c>
      <c r="G42" t="s">
        <v>271</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25">
      <c r="C43" s="88"/>
      <c r="F43" t="s">
        <v>194</v>
      </c>
      <c r="G43" t="s">
        <v>271</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25">
      <c r="C44" s="88"/>
      <c r="F44" t="s">
        <v>195</v>
      </c>
      <c r="G44" t="s">
        <v>271</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25">
      <c r="C45" s="88"/>
      <c r="F45" t="s">
        <v>196</v>
      </c>
      <c r="G45" t="s">
        <v>271</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25">
      <c r="C46" s="88"/>
      <c r="F46" t="s">
        <v>197</v>
      </c>
      <c r="G46" t="s">
        <v>271</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25">
      <c r="C47" s="88"/>
      <c r="F47" t="s">
        <v>198</v>
      </c>
      <c r="G47" t="s">
        <v>271</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25">
      <c r="C48" s="88"/>
      <c r="F48" t="s">
        <v>199</v>
      </c>
      <c r="G48" t="s">
        <v>271</v>
      </c>
      <c r="J48" s="120">
        <f>'Capacity charges'!J285</f>
        <v>2.2799050930396323</v>
      </c>
      <c r="K48" s="120">
        <f>'Capacity charges'!K285</f>
        <v>0</v>
      </c>
      <c r="L48" s="120">
        <f>'Capacity charges'!L285</f>
        <v>2.2799050930396323</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25">
      <c r="C49" s="88"/>
      <c r="F49" t="s">
        <v>376</v>
      </c>
      <c r="G49" t="s">
        <v>271</v>
      </c>
      <c r="J49" s="79"/>
      <c r="K49" s="79"/>
      <c r="L49" s="79"/>
      <c r="M49" s="79"/>
      <c r="N49" s="79"/>
      <c r="O49" s="79"/>
      <c r="P49" s="79"/>
      <c r="Q49" s="79"/>
      <c r="R49" s="79"/>
      <c r="S49" s="79"/>
      <c r="T49" s="79"/>
      <c r="U49" s="79"/>
      <c r="V49" s="79"/>
      <c r="W49" s="79"/>
      <c r="X49" s="79"/>
      <c r="Y49" s="79"/>
    </row>
    <row r="50" spans="3:27" x14ac:dyDescent="0.25">
      <c r="C50" s="88"/>
      <c r="F50" s="37" t="s">
        <v>377</v>
      </c>
      <c r="G50" s="37" t="s">
        <v>271</v>
      </c>
      <c r="H50" s="37"/>
      <c r="I50" s="37"/>
      <c r="J50" s="81"/>
      <c r="K50" s="81"/>
      <c r="L50" s="81"/>
      <c r="M50" s="81"/>
      <c r="N50" s="81"/>
      <c r="O50" s="81"/>
      <c r="P50" s="81"/>
      <c r="Q50" s="81"/>
      <c r="R50" s="81"/>
      <c r="S50" s="81"/>
      <c r="T50" s="81"/>
      <c r="U50" s="81"/>
      <c r="V50" s="81"/>
      <c r="W50" s="81"/>
      <c r="X50" s="81"/>
      <c r="Y50" s="81"/>
    </row>
    <row r="51" spans="3:27" x14ac:dyDescent="0.25">
      <c r="C51" s="88"/>
      <c r="J51" s="89"/>
      <c r="K51" s="89"/>
      <c r="L51" s="89"/>
      <c r="M51" s="89"/>
      <c r="N51" s="89"/>
      <c r="O51" s="89"/>
      <c r="P51" s="89"/>
      <c r="Q51" s="89"/>
      <c r="R51" s="89"/>
      <c r="S51" s="89"/>
      <c r="T51" s="89"/>
      <c r="U51" s="89"/>
      <c r="V51" s="89"/>
      <c r="W51" s="89"/>
      <c r="X51" s="89"/>
      <c r="Y51" s="89"/>
    </row>
    <row r="52" spans="3:27" x14ac:dyDescent="0.25">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25">
      <c r="D53"/>
    </row>
    <row r="54" spans="3:27" x14ac:dyDescent="0.25">
      <c r="C54" s="32"/>
      <c r="D54"/>
      <c r="E54" s="32" t="s">
        <v>622</v>
      </c>
      <c r="I54" t="s">
        <v>154</v>
      </c>
      <c r="J54" s="89"/>
      <c r="K54" s="89"/>
      <c r="L54" s="89"/>
      <c r="M54" s="89"/>
      <c r="N54" s="89"/>
      <c r="O54" s="89"/>
      <c r="P54" s="89"/>
      <c r="Q54" s="89"/>
      <c r="R54" s="89"/>
      <c r="S54" s="89"/>
      <c r="T54" s="89"/>
      <c r="U54" s="89"/>
      <c r="V54" s="89"/>
      <c r="W54" s="89"/>
      <c r="X54" s="89"/>
      <c r="Y54" s="89"/>
      <c r="AA54" t="s">
        <v>722</v>
      </c>
    </row>
    <row r="55" spans="3:27" x14ac:dyDescent="0.25">
      <c r="C55" s="88"/>
      <c r="D55"/>
      <c r="F55" s="23" t="s">
        <v>376</v>
      </c>
      <c r="G55" s="23" t="s">
        <v>270</v>
      </c>
      <c r="H55" s="23"/>
      <c r="I55" s="23"/>
      <c r="J55" s="124">
        <f>'Service model charges'!J42</f>
        <v>3.5969460392824226</v>
      </c>
      <c r="K55" s="124">
        <f>'Service model charges'!K42</f>
        <v>0</v>
      </c>
      <c r="L55" s="124">
        <f>'Service model charges'!L42</f>
        <v>6.508441043752045</v>
      </c>
      <c r="M55" s="124">
        <f>'Service model charges'!M42</f>
        <v>0</v>
      </c>
      <c r="N55" s="124">
        <f>'Service model charges'!N42</f>
        <v>29.576050526927716</v>
      </c>
      <c r="O55" s="124">
        <f>'Service model charges'!O42</f>
        <v>54.802244524365939</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25">
      <c r="C56" s="88"/>
      <c r="D56"/>
      <c r="F56" s="37" t="s">
        <v>377</v>
      </c>
      <c r="G56" s="37" t="s">
        <v>270</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307.23294745941183</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498.32981028380851</v>
      </c>
      <c r="Y56" s="125">
        <f>'Service model charges'!Y43</f>
        <v>498.32981028380851</v>
      </c>
    </row>
    <row r="57" spans="3:27" x14ac:dyDescent="0.25">
      <c r="C57" s="88"/>
      <c r="D57"/>
      <c r="F57" s="2"/>
    </row>
    <row r="58" spans="3:27" x14ac:dyDescent="0.25">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25">
      <c r="C59" s="32"/>
      <c r="D59"/>
      <c r="E59"/>
    </row>
    <row r="60" spans="3:27" x14ac:dyDescent="0.25">
      <c r="D60" s="29" t="s">
        <v>723</v>
      </c>
      <c r="E60"/>
    </row>
    <row r="61" spans="3:27" x14ac:dyDescent="0.25">
      <c r="D61" s="29" t="s">
        <v>724</v>
      </c>
      <c r="E61"/>
    </row>
    <row r="62" spans="3:27" x14ac:dyDescent="0.25">
      <c r="D62" s="29"/>
      <c r="E62"/>
    </row>
    <row r="63" spans="3:27" x14ac:dyDescent="0.25">
      <c r="E63" t="s">
        <v>725</v>
      </c>
      <c r="G63" t="s">
        <v>149</v>
      </c>
      <c r="I63" t="s">
        <v>154</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726</v>
      </c>
    </row>
    <row r="65" spans="2:27" x14ac:dyDescent="0.25">
      <c r="B65" s="30" t="s">
        <v>727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25">
      <c r="J66" s="89"/>
      <c r="K66" s="89"/>
      <c r="L66" s="89"/>
      <c r="M66" s="89"/>
      <c r="N66" s="89"/>
      <c r="O66" s="89"/>
      <c r="P66" s="89"/>
      <c r="Q66" s="89"/>
      <c r="R66" s="89"/>
      <c r="S66" s="89"/>
      <c r="T66" s="89"/>
      <c r="U66" s="89"/>
      <c r="V66" s="89"/>
      <c r="W66" s="89"/>
      <c r="X66" s="89"/>
      <c r="Y66" s="89"/>
    </row>
    <row r="67" spans="2:27" x14ac:dyDescent="0.25">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25">
      <c r="D68"/>
      <c r="E68" s="32"/>
      <c r="I68" t="s">
        <v>154</v>
      </c>
      <c r="J68" s="89"/>
      <c r="K68" s="89"/>
      <c r="L68" s="89"/>
      <c r="M68" s="89"/>
      <c r="N68" s="89"/>
      <c r="O68" s="89"/>
      <c r="P68" s="89"/>
      <c r="Q68" s="89"/>
      <c r="R68" s="89"/>
      <c r="S68" s="89"/>
      <c r="T68" s="89"/>
      <c r="U68" s="89"/>
      <c r="V68" s="89"/>
      <c r="W68" s="89"/>
      <c r="X68" s="89"/>
      <c r="Y68" s="89"/>
      <c r="AA68" t="s">
        <v>726</v>
      </c>
    </row>
    <row r="69" spans="2:27" x14ac:dyDescent="0.25">
      <c r="C69" s="88"/>
      <c r="D69"/>
      <c r="E69" s="32" t="s">
        <v>621</v>
      </c>
      <c r="J69" s="89"/>
      <c r="K69" s="89"/>
      <c r="L69" s="89"/>
      <c r="M69" s="89"/>
      <c r="N69" s="89"/>
      <c r="O69" s="89"/>
      <c r="P69" s="89"/>
      <c r="Q69" s="89"/>
      <c r="R69" s="89"/>
      <c r="S69" s="89"/>
      <c r="T69" s="89"/>
      <c r="U69" s="89"/>
      <c r="V69" s="89"/>
      <c r="W69" s="89"/>
      <c r="X69" s="89"/>
      <c r="Y69" s="89"/>
    </row>
    <row r="70" spans="2:27" x14ac:dyDescent="0.25">
      <c r="C70" s="88"/>
      <c r="D70"/>
      <c r="E70" s="29"/>
      <c r="F70" s="23" t="s">
        <v>189</v>
      </c>
      <c r="G70" s="23" t="s">
        <v>728</v>
      </c>
      <c r="H70" s="23"/>
      <c r="I70" s="23"/>
      <c r="J70" s="83"/>
      <c r="K70" s="83"/>
      <c r="L70" s="83"/>
      <c r="M70" s="83"/>
      <c r="N70" s="83"/>
      <c r="O70" s="83"/>
      <c r="P70" s="83"/>
      <c r="Q70" s="83"/>
      <c r="R70" s="83"/>
      <c r="S70" s="83"/>
      <c r="T70" s="83"/>
      <c r="U70" s="83"/>
      <c r="V70" s="83"/>
      <c r="W70" s="83"/>
      <c r="X70" s="83"/>
      <c r="Y70" s="83"/>
    </row>
    <row r="71" spans="2:27" x14ac:dyDescent="0.25">
      <c r="C71" s="88"/>
      <c r="D71"/>
      <c r="E71" s="29"/>
      <c r="F71" t="s">
        <v>191</v>
      </c>
      <c r="G71" t="s">
        <v>728</v>
      </c>
      <c r="J71" s="79"/>
      <c r="K71" s="79"/>
      <c r="L71" s="79"/>
      <c r="M71" s="79"/>
      <c r="N71" s="79"/>
      <c r="O71" s="79"/>
      <c r="P71" s="79"/>
      <c r="Q71" s="79"/>
      <c r="R71" s="79"/>
      <c r="S71" s="79"/>
      <c r="T71" s="79"/>
      <c r="U71" s="79"/>
      <c r="V71" s="79"/>
      <c r="W71" s="79"/>
      <c r="X71" s="79"/>
      <c r="Y71" s="79"/>
    </row>
    <row r="72" spans="2:27" x14ac:dyDescent="0.25">
      <c r="C72" s="88"/>
      <c r="D72"/>
      <c r="E72" s="29"/>
      <c r="F72" t="s">
        <v>192</v>
      </c>
      <c r="G72" t="s">
        <v>728</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25">
      <c r="C73" s="88"/>
      <c r="D73"/>
      <c r="E73" s="29"/>
      <c r="F73" t="s">
        <v>193</v>
      </c>
      <c r="G73" t="s">
        <v>728</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25">
      <c r="C74" s="88"/>
      <c r="D74"/>
      <c r="E74" s="29"/>
      <c r="F74" t="s">
        <v>194</v>
      </c>
      <c r="G74" t="s">
        <v>728</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25">
      <c r="C75" s="88"/>
      <c r="D75"/>
      <c r="E75" s="29"/>
      <c r="F75" t="s">
        <v>195</v>
      </c>
      <c r="G75" t="s">
        <v>728</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25">
      <c r="C76" s="88"/>
      <c r="D76"/>
      <c r="E76" s="29"/>
      <c r="F76" t="s">
        <v>196</v>
      </c>
      <c r="G76" t="s">
        <v>728</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25">
      <c r="C77" s="88"/>
      <c r="D77"/>
      <c r="E77" s="29"/>
      <c r="F77" t="s">
        <v>197</v>
      </c>
      <c r="G77" t="s">
        <v>728</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25">
      <c r="C78" s="88"/>
      <c r="D78"/>
      <c r="E78" s="29"/>
      <c r="F78" t="s">
        <v>198</v>
      </c>
      <c r="G78" t="s">
        <v>728</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25">
      <c r="C79" s="88"/>
      <c r="D79"/>
      <c r="E79" s="29"/>
      <c r="F79" t="s">
        <v>199</v>
      </c>
      <c r="G79" t="s">
        <v>728</v>
      </c>
      <c r="J79" s="98">
        <f t="shared" ref="J79:K79" si="49">J$20 * J34 * thousand / PowerFactor</f>
        <v>65124.287192816686</v>
      </c>
      <c r="K79" s="98">
        <f t="shared" si="49"/>
        <v>0</v>
      </c>
      <c r="L79" s="98">
        <f t="shared" ref="L79:M79" si="50">L$20 * L34 * thousand / PowerFactor</f>
        <v>25405.20181151669</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25">
      <c r="C80" s="88"/>
      <c r="D80"/>
      <c r="E80" s="29"/>
      <c r="F80" t="s">
        <v>376</v>
      </c>
      <c r="G80" t="s">
        <v>728</v>
      </c>
      <c r="J80" s="79"/>
      <c r="K80" s="79"/>
      <c r="L80" s="79"/>
      <c r="M80" s="79"/>
      <c r="N80" s="79"/>
      <c r="O80" s="79"/>
      <c r="P80" s="79"/>
      <c r="Q80" s="79"/>
      <c r="R80" s="79"/>
      <c r="S80" s="79"/>
      <c r="T80" s="79"/>
      <c r="U80" s="79"/>
      <c r="V80" s="79"/>
      <c r="W80" s="79"/>
      <c r="X80" s="79"/>
      <c r="Y80" s="79"/>
    </row>
    <row r="81" spans="3:25" x14ac:dyDescent="0.25">
      <c r="C81" s="88"/>
      <c r="D81"/>
      <c r="E81" s="29"/>
      <c r="F81" s="37" t="s">
        <v>377</v>
      </c>
      <c r="G81" s="37" t="s">
        <v>728</v>
      </c>
      <c r="H81" s="37"/>
      <c r="I81" s="37"/>
      <c r="J81" s="81"/>
      <c r="K81" s="81"/>
      <c r="L81" s="81"/>
      <c r="M81" s="81"/>
      <c r="N81" s="81"/>
      <c r="O81" s="81"/>
      <c r="P81" s="81"/>
      <c r="Q81" s="81"/>
      <c r="R81" s="81"/>
      <c r="S81" s="81"/>
      <c r="T81" s="81"/>
      <c r="U81" s="81"/>
      <c r="V81" s="81"/>
      <c r="W81" s="81"/>
      <c r="X81" s="81"/>
      <c r="Y81" s="81"/>
    </row>
    <row r="82" spans="3:25" x14ac:dyDescent="0.25">
      <c r="C82" s="88"/>
      <c r="D82"/>
      <c r="E82" s="29"/>
      <c r="J82" s="89"/>
      <c r="K82" s="89"/>
      <c r="L82" s="89"/>
      <c r="M82" s="89"/>
      <c r="N82" s="89"/>
      <c r="O82" s="89"/>
      <c r="P82" s="89"/>
      <c r="Q82" s="89"/>
      <c r="R82" s="89"/>
      <c r="S82" s="89"/>
      <c r="T82" s="89"/>
      <c r="U82" s="89"/>
      <c r="V82" s="89"/>
      <c r="W82" s="89"/>
      <c r="X82" s="89"/>
      <c r="Y82" s="89"/>
    </row>
    <row r="83" spans="3:25" x14ac:dyDescent="0.25">
      <c r="C83" s="88"/>
      <c r="D83"/>
      <c r="E83" s="32" t="s">
        <v>622</v>
      </c>
      <c r="J83" s="89"/>
      <c r="K83" s="89"/>
      <c r="L83" s="89"/>
      <c r="M83" s="89"/>
      <c r="N83" s="89"/>
      <c r="O83" s="89"/>
      <c r="P83" s="89"/>
      <c r="Q83" s="89"/>
      <c r="R83" s="89"/>
      <c r="S83" s="89"/>
      <c r="T83" s="89"/>
      <c r="U83" s="89"/>
      <c r="V83" s="89"/>
      <c r="W83" s="89"/>
      <c r="X83" s="89"/>
      <c r="Y83" s="89"/>
    </row>
    <row r="84" spans="3:25" x14ac:dyDescent="0.25">
      <c r="C84" s="88"/>
      <c r="D84"/>
      <c r="F84" s="23" t="s">
        <v>189</v>
      </c>
      <c r="G84" s="23" t="s">
        <v>728</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25">
      <c r="C85" s="88"/>
      <c r="D85"/>
      <c r="F85" t="s">
        <v>191</v>
      </c>
      <c r="G85" t="s">
        <v>728</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25">
      <c r="C86" s="88"/>
      <c r="D86"/>
      <c r="F86" t="s">
        <v>192</v>
      </c>
      <c r="G86" t="s">
        <v>728</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25">
      <c r="C87" s="88"/>
      <c r="D87"/>
      <c r="F87" t="s">
        <v>193</v>
      </c>
      <c r="G87" t="s">
        <v>728</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25">
      <c r="C88" s="88"/>
      <c r="D88"/>
      <c r="F88" t="s">
        <v>194</v>
      </c>
      <c r="G88" t="s">
        <v>728</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25">
      <c r="C89" s="88"/>
      <c r="D89"/>
      <c r="F89" t="s">
        <v>195</v>
      </c>
      <c r="G89" t="s">
        <v>728</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25">
      <c r="C90" s="88"/>
      <c r="D90"/>
      <c r="F90" t="s">
        <v>196</v>
      </c>
      <c r="G90" t="s">
        <v>728</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25">
      <c r="C91" s="88"/>
      <c r="D91"/>
      <c r="F91" t="s">
        <v>197</v>
      </c>
      <c r="G91" t="s">
        <v>728</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25">
      <c r="C92" s="88"/>
      <c r="D92"/>
      <c r="F92" t="s">
        <v>198</v>
      </c>
      <c r="G92" t="s">
        <v>728</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25">
      <c r="C93" s="88"/>
      <c r="D93"/>
      <c r="F93" t="s">
        <v>199</v>
      </c>
      <c r="G93" t="s">
        <v>728</v>
      </c>
      <c r="J93" s="98">
        <f t="shared" ref="J93:K93" si="119">J$20 * J48 * thousand / PowerFactor</f>
        <v>1647000.0086283828</v>
      </c>
      <c r="K93" s="98">
        <f t="shared" si="119"/>
        <v>0</v>
      </c>
      <c r="L93" s="98">
        <f t="shared" ref="L93:M93" si="120">L$20 * L48 * thousand / PowerFactor</f>
        <v>642500.20086805755</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25">
      <c r="C94" s="88"/>
      <c r="D94"/>
      <c r="F94" t="s">
        <v>376</v>
      </c>
      <c r="G94" t="s">
        <v>728</v>
      </c>
      <c r="J94" s="79"/>
      <c r="K94" s="79"/>
      <c r="L94" s="79"/>
      <c r="M94" s="79"/>
      <c r="N94" s="79"/>
      <c r="O94" s="79"/>
      <c r="P94" s="79"/>
      <c r="Q94" s="79"/>
      <c r="R94" s="79"/>
      <c r="S94" s="79"/>
      <c r="T94" s="79"/>
      <c r="U94" s="79"/>
      <c r="V94" s="79"/>
      <c r="W94" s="79"/>
      <c r="X94" s="79"/>
      <c r="Y94" s="79"/>
    </row>
    <row r="95" spans="3:25" x14ac:dyDescent="0.25">
      <c r="C95" s="88"/>
      <c r="D95"/>
      <c r="F95" s="37" t="s">
        <v>377</v>
      </c>
      <c r="G95" s="37" t="s">
        <v>728</v>
      </c>
      <c r="H95" s="37"/>
      <c r="I95" s="37"/>
      <c r="J95" s="81"/>
      <c r="K95" s="81"/>
      <c r="L95" s="81"/>
      <c r="M95" s="81"/>
      <c r="N95" s="81"/>
      <c r="O95" s="81"/>
      <c r="P95" s="81"/>
      <c r="Q95" s="81"/>
      <c r="R95" s="81"/>
      <c r="S95" s="81"/>
      <c r="T95" s="81"/>
      <c r="U95" s="81"/>
      <c r="V95" s="81"/>
      <c r="W95" s="81"/>
      <c r="X95" s="81"/>
      <c r="Y95" s="81"/>
    </row>
    <row r="96" spans="3:25" x14ac:dyDescent="0.25">
      <c r="C96" s="88"/>
      <c r="J96" s="89"/>
      <c r="K96" s="89"/>
      <c r="L96" s="89"/>
      <c r="M96" s="89"/>
      <c r="N96" s="89"/>
      <c r="O96" s="89"/>
      <c r="P96" s="89"/>
      <c r="Q96" s="89"/>
      <c r="R96" s="89"/>
      <c r="S96" s="89"/>
      <c r="T96" s="89"/>
      <c r="U96" s="89"/>
      <c r="V96" s="89"/>
      <c r="W96" s="89"/>
      <c r="X96" s="89"/>
      <c r="Y96" s="89"/>
    </row>
    <row r="97" spans="3:27" x14ac:dyDescent="0.25">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25">
      <c r="D98"/>
      <c r="E98" s="32"/>
      <c r="I98" t="s">
        <v>154</v>
      </c>
      <c r="J98" s="89"/>
      <c r="K98" s="89"/>
      <c r="L98" s="89"/>
      <c r="M98" s="89"/>
      <c r="N98" s="89"/>
      <c r="O98" s="89"/>
      <c r="P98" s="89"/>
      <c r="Q98" s="89"/>
      <c r="R98" s="89"/>
      <c r="S98" s="89"/>
      <c r="T98" s="89"/>
      <c r="U98" s="89"/>
      <c r="V98" s="89"/>
      <c r="W98" s="89"/>
      <c r="X98" s="89"/>
      <c r="Y98" s="89"/>
      <c r="AA98" t="s">
        <v>726</v>
      </c>
    </row>
    <row r="99" spans="3:27" x14ac:dyDescent="0.25">
      <c r="C99" s="88"/>
      <c r="D99"/>
      <c r="E99" s="32" t="s">
        <v>621</v>
      </c>
      <c r="J99" s="89"/>
      <c r="K99" s="89"/>
      <c r="L99" s="89"/>
      <c r="M99" s="89"/>
      <c r="N99" s="89"/>
      <c r="O99" s="89"/>
      <c r="P99" s="89"/>
      <c r="Q99" s="89"/>
      <c r="R99" s="89"/>
      <c r="S99" s="89"/>
      <c r="T99" s="89"/>
      <c r="U99" s="89"/>
      <c r="V99" s="89"/>
      <c r="W99" s="89"/>
      <c r="X99" s="89"/>
      <c r="Y99" s="89"/>
    </row>
    <row r="100" spans="3:27" x14ac:dyDescent="0.25">
      <c r="C100" s="88"/>
      <c r="D100"/>
      <c r="E100" s="29"/>
      <c r="F100" s="23" t="s">
        <v>189</v>
      </c>
      <c r="G100" s="23" t="s">
        <v>728</v>
      </c>
      <c r="H100" s="23"/>
      <c r="I100" s="23"/>
      <c r="J100" s="83"/>
      <c r="K100" s="83"/>
      <c r="L100" s="83"/>
      <c r="M100" s="83"/>
      <c r="N100" s="83"/>
      <c r="O100" s="83"/>
      <c r="P100" s="83"/>
      <c r="Q100" s="83"/>
      <c r="R100" s="83"/>
      <c r="S100" s="83"/>
      <c r="T100" s="83"/>
      <c r="U100" s="83"/>
      <c r="V100" s="83"/>
      <c r="W100" s="83"/>
      <c r="X100" s="83"/>
      <c r="Y100" s="83"/>
    </row>
    <row r="101" spans="3:27" x14ac:dyDescent="0.25">
      <c r="C101" s="88"/>
      <c r="D101"/>
      <c r="E101" s="29"/>
      <c r="F101" t="s">
        <v>191</v>
      </c>
      <c r="G101" t="s">
        <v>728</v>
      </c>
      <c r="J101" s="79"/>
      <c r="K101" s="79"/>
      <c r="L101" s="79"/>
      <c r="M101" s="79"/>
      <c r="N101" s="79"/>
      <c r="O101" s="79"/>
      <c r="P101" s="79"/>
      <c r="Q101" s="79"/>
      <c r="R101" s="79"/>
      <c r="S101" s="79"/>
      <c r="T101" s="79"/>
      <c r="U101" s="79"/>
      <c r="V101" s="79"/>
      <c r="W101" s="79"/>
      <c r="X101" s="79"/>
      <c r="Y101" s="79"/>
    </row>
    <row r="102" spans="3:27" x14ac:dyDescent="0.25">
      <c r="C102" s="88"/>
      <c r="D102"/>
      <c r="E102" s="29"/>
      <c r="F102" t="s">
        <v>192</v>
      </c>
      <c r="G102" t="s">
        <v>728</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25">
      <c r="C103" s="88"/>
      <c r="D103"/>
      <c r="E103" s="29"/>
      <c r="F103" t="s">
        <v>193</v>
      </c>
      <c r="G103" t="s">
        <v>728</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25">
      <c r="C104" s="88"/>
      <c r="D104"/>
      <c r="E104" s="29"/>
      <c r="F104" t="s">
        <v>194</v>
      </c>
      <c r="G104" t="s">
        <v>728</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25">
      <c r="C105" s="88"/>
      <c r="D105"/>
      <c r="E105" s="29"/>
      <c r="F105" t="s">
        <v>195</v>
      </c>
      <c r="G105" t="s">
        <v>728</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25">
      <c r="C106" s="88"/>
      <c r="D106"/>
      <c r="E106" s="29"/>
      <c r="F106" t="s">
        <v>196</v>
      </c>
      <c r="G106" t="s">
        <v>728</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25">
      <c r="C107" s="88"/>
      <c r="D107"/>
      <c r="E107" s="29"/>
      <c r="F107" t="s">
        <v>197</v>
      </c>
      <c r="G107" t="s">
        <v>728</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25">
      <c r="C108" s="88"/>
      <c r="D108"/>
      <c r="E108" s="29"/>
      <c r="F108" t="s">
        <v>198</v>
      </c>
      <c r="G108" t="s">
        <v>728</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25">
      <c r="C109" s="88"/>
      <c r="D109"/>
      <c r="E109" s="29"/>
      <c r="F109" t="s">
        <v>199</v>
      </c>
      <c r="G109" t="s">
        <v>728</v>
      </c>
      <c r="J109" s="98">
        <f t="shared" ref="J109:Y109" si="133">SUMIFS($J79:$Y79,$J$63:$Y$63,J$63)</f>
        <v>90529.489004333373</v>
      </c>
      <c r="K109" s="98">
        <f t="shared" si="133"/>
        <v>0</v>
      </c>
      <c r="L109" s="98">
        <f t="shared" si="133"/>
        <v>90529.489004333373</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25">
      <c r="C110" s="88"/>
      <c r="D110"/>
      <c r="E110" s="29"/>
      <c r="F110" t="s">
        <v>376</v>
      </c>
      <c r="G110" t="s">
        <v>728</v>
      </c>
      <c r="J110" s="79"/>
      <c r="K110" s="79"/>
      <c r="L110" s="79"/>
      <c r="M110" s="79"/>
      <c r="N110" s="79"/>
      <c r="O110" s="79"/>
      <c r="P110" s="79"/>
      <c r="Q110" s="79"/>
      <c r="R110" s="79"/>
      <c r="S110" s="79"/>
      <c r="T110" s="79"/>
      <c r="U110" s="79"/>
      <c r="V110" s="79"/>
      <c r="W110" s="79"/>
      <c r="X110" s="79"/>
      <c r="Y110" s="79"/>
    </row>
    <row r="111" spans="3:27" x14ac:dyDescent="0.25">
      <c r="C111" s="88"/>
      <c r="D111"/>
      <c r="E111" s="29"/>
      <c r="F111" s="37" t="s">
        <v>377</v>
      </c>
      <c r="G111" s="37" t="s">
        <v>728</v>
      </c>
      <c r="H111" s="37"/>
      <c r="I111" s="37"/>
      <c r="J111" s="81"/>
      <c r="K111" s="81"/>
      <c r="L111" s="81"/>
      <c r="M111" s="81"/>
      <c r="N111" s="81"/>
      <c r="O111" s="81"/>
      <c r="P111" s="81"/>
      <c r="Q111" s="81"/>
      <c r="R111" s="81"/>
      <c r="S111" s="81"/>
      <c r="T111" s="81"/>
      <c r="U111" s="81"/>
      <c r="V111" s="81"/>
      <c r="W111" s="81"/>
      <c r="X111" s="81"/>
      <c r="Y111" s="81"/>
    </row>
    <row r="112" spans="3:27" x14ac:dyDescent="0.25">
      <c r="C112" s="88"/>
      <c r="D112"/>
      <c r="E112" s="29"/>
      <c r="J112" s="89"/>
      <c r="K112" s="89"/>
      <c r="L112" s="89"/>
      <c r="M112" s="89"/>
      <c r="N112" s="89"/>
      <c r="O112" s="89"/>
      <c r="P112" s="89"/>
      <c r="Q112" s="89"/>
      <c r="R112" s="89"/>
      <c r="S112" s="89"/>
      <c r="T112" s="89"/>
      <c r="U112" s="89"/>
      <c r="V112" s="89"/>
      <c r="W112" s="89"/>
      <c r="X112" s="89"/>
      <c r="Y112" s="89"/>
    </row>
    <row r="113" spans="3:27" x14ac:dyDescent="0.25">
      <c r="C113" s="88"/>
      <c r="D113"/>
      <c r="E113" s="32" t="s">
        <v>622</v>
      </c>
      <c r="J113" s="89"/>
      <c r="K113" s="89"/>
      <c r="L113" s="89"/>
      <c r="M113" s="89"/>
      <c r="N113" s="89"/>
      <c r="O113" s="89"/>
      <c r="P113" s="89"/>
      <c r="Q113" s="89"/>
      <c r="R113" s="89"/>
      <c r="S113" s="89"/>
      <c r="T113" s="89"/>
      <c r="U113" s="89"/>
      <c r="V113" s="89"/>
      <c r="W113" s="89"/>
      <c r="X113" s="89"/>
      <c r="Y113" s="89"/>
    </row>
    <row r="114" spans="3:27" x14ac:dyDescent="0.25">
      <c r="C114" s="88"/>
      <c r="D114"/>
      <c r="F114" s="23" t="s">
        <v>189</v>
      </c>
      <c r="G114" s="23" t="s">
        <v>728</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25">
      <c r="C115" s="88"/>
      <c r="D115"/>
      <c r="F115" t="s">
        <v>191</v>
      </c>
      <c r="G115" t="s">
        <v>728</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25">
      <c r="C116" s="88"/>
      <c r="D116"/>
      <c r="F116" t="s">
        <v>192</v>
      </c>
      <c r="G116" t="s">
        <v>728</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25">
      <c r="C117" s="88"/>
      <c r="D117"/>
      <c r="F117" t="s">
        <v>193</v>
      </c>
      <c r="G117" t="s">
        <v>728</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25">
      <c r="C118" s="88"/>
      <c r="D118"/>
      <c r="F118" t="s">
        <v>194</v>
      </c>
      <c r="G118" t="s">
        <v>728</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25">
      <c r="C119" s="88"/>
      <c r="D119"/>
      <c r="F119" t="s">
        <v>195</v>
      </c>
      <c r="G119" t="s">
        <v>728</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25">
      <c r="C120" s="88"/>
      <c r="D120"/>
      <c r="F120" t="s">
        <v>196</v>
      </c>
      <c r="G120" t="s">
        <v>728</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25">
      <c r="C121" s="88"/>
      <c r="D121"/>
      <c r="F121" t="s">
        <v>197</v>
      </c>
      <c r="G121" t="s">
        <v>728</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25">
      <c r="C122" s="88"/>
      <c r="D122"/>
      <c r="F122" t="s">
        <v>198</v>
      </c>
      <c r="G122" t="s">
        <v>728</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25">
      <c r="C123" s="88"/>
      <c r="D123"/>
      <c r="F123" t="s">
        <v>199</v>
      </c>
      <c r="G123" t="s">
        <v>728</v>
      </c>
      <c r="J123" s="98">
        <f t="shared" ref="J123:Y123" si="143">SUMIFS($J93:$Y93,$J$63:$Y$63,J$63)</f>
        <v>2289500.2094964404</v>
      </c>
      <c r="K123" s="98">
        <f t="shared" si="143"/>
        <v>0</v>
      </c>
      <c r="L123" s="98">
        <f t="shared" si="143"/>
        <v>2289500.2094964404</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25">
      <c r="C124" s="88"/>
      <c r="D124"/>
      <c r="F124" t="s">
        <v>376</v>
      </c>
      <c r="G124" t="s">
        <v>728</v>
      </c>
      <c r="J124" s="79"/>
      <c r="K124" s="79"/>
      <c r="L124" s="79"/>
      <c r="M124" s="79"/>
      <c r="N124" s="79"/>
      <c r="O124" s="79"/>
      <c r="P124" s="79"/>
      <c r="Q124" s="79"/>
      <c r="R124" s="79"/>
      <c r="S124" s="79"/>
      <c r="T124" s="79"/>
      <c r="U124" s="79"/>
      <c r="V124" s="79"/>
      <c r="W124" s="79"/>
      <c r="X124" s="79"/>
      <c r="Y124" s="79"/>
    </row>
    <row r="125" spans="3:27" x14ac:dyDescent="0.25">
      <c r="C125" s="88"/>
      <c r="D125"/>
      <c r="F125" s="37" t="s">
        <v>377</v>
      </c>
      <c r="G125" s="37" t="s">
        <v>728</v>
      </c>
      <c r="H125" s="37"/>
      <c r="I125" s="37"/>
      <c r="J125" s="81"/>
      <c r="K125" s="81"/>
      <c r="L125" s="81"/>
      <c r="M125" s="81"/>
      <c r="N125" s="81"/>
      <c r="O125" s="81"/>
      <c r="P125" s="81"/>
      <c r="Q125" s="81"/>
      <c r="R125" s="81"/>
      <c r="S125" s="81"/>
      <c r="T125" s="81"/>
      <c r="U125" s="81"/>
      <c r="V125" s="81"/>
      <c r="W125" s="81"/>
      <c r="X125" s="81"/>
      <c r="Y125" s="81"/>
    </row>
    <row r="126" spans="3:27" x14ac:dyDescent="0.25">
      <c r="C126" s="88"/>
      <c r="J126" s="89"/>
      <c r="K126" s="89"/>
      <c r="L126" s="89"/>
      <c r="M126" s="89"/>
      <c r="N126" s="89"/>
      <c r="O126" s="89"/>
      <c r="P126" s="89"/>
      <c r="Q126" s="89"/>
      <c r="R126" s="89"/>
      <c r="S126" s="89"/>
      <c r="T126" s="89"/>
      <c r="U126" s="89"/>
      <c r="V126" s="89"/>
      <c r="W126" s="89"/>
      <c r="X126" s="89"/>
      <c r="Y126" s="89"/>
    </row>
    <row r="127" spans="3:27" x14ac:dyDescent="0.25">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25">
      <c r="D128"/>
      <c r="E128" s="32"/>
    </row>
    <row r="129" spans="3:27" x14ac:dyDescent="0.25">
      <c r="D129"/>
      <c r="E129" t="s">
        <v>729</v>
      </c>
      <c r="G129" t="s">
        <v>212</v>
      </c>
      <c r="J129" s="89">
        <f t="shared" ref="J129:Y129" si="144">SUMIFS($J$18:$Y$18,$J$63:$Y$63,J63)</f>
        <v>787926.02058612357</v>
      </c>
      <c r="K129" s="89">
        <f t="shared" si="144"/>
        <v>84315.7061003899</v>
      </c>
      <c r="L129" s="89">
        <f t="shared" si="144"/>
        <v>787926.02058612357</v>
      </c>
      <c r="M129" s="89">
        <f t="shared" si="144"/>
        <v>84315.7061003899</v>
      </c>
      <c r="N129" s="89">
        <f t="shared" si="144"/>
        <v>84315.7061003899</v>
      </c>
      <c r="O129" s="89">
        <f t="shared" si="144"/>
        <v>84315.7061003899</v>
      </c>
      <c r="P129" s="89">
        <f t="shared" si="144"/>
        <v>84315.7061003899</v>
      </c>
      <c r="Q129" s="89">
        <f t="shared" si="144"/>
        <v>84315.7061003899</v>
      </c>
      <c r="R129" s="89">
        <f t="shared" si="144"/>
        <v>84315.7061003899</v>
      </c>
      <c r="S129" s="89">
        <f t="shared" si="144"/>
        <v>84315.7061003899</v>
      </c>
      <c r="T129" s="89">
        <f t="shared" si="144"/>
        <v>84315.7061003899</v>
      </c>
      <c r="U129" s="89">
        <f t="shared" si="144"/>
        <v>84315.7061003899</v>
      </c>
      <c r="V129" s="89">
        <f t="shared" si="144"/>
        <v>84315.7061003899</v>
      </c>
      <c r="W129" s="89">
        <f t="shared" si="144"/>
        <v>84315.7061003899</v>
      </c>
      <c r="X129" s="89">
        <f t="shared" si="144"/>
        <v>84315.7061003899</v>
      </c>
      <c r="Y129" s="89">
        <f t="shared" si="144"/>
        <v>84315.7061003899</v>
      </c>
    </row>
    <row r="130" spans="3:27" x14ac:dyDescent="0.25">
      <c r="D130"/>
      <c r="E130"/>
    </row>
    <row r="131" spans="3:27" x14ac:dyDescent="0.25">
      <c r="C131" s="88"/>
      <c r="E131" s="32" t="s">
        <v>621</v>
      </c>
      <c r="I131" t="s">
        <v>154</v>
      </c>
      <c r="J131" s="89"/>
      <c r="K131" s="89"/>
      <c r="L131" s="89"/>
      <c r="M131" s="89"/>
      <c r="N131" s="89"/>
      <c r="O131" s="89"/>
      <c r="P131" s="89"/>
      <c r="Q131" s="89"/>
      <c r="R131" s="89"/>
      <c r="S131" s="89"/>
      <c r="T131" s="89"/>
      <c r="U131" s="89"/>
      <c r="V131" s="89"/>
      <c r="W131" s="89"/>
      <c r="X131" s="89"/>
      <c r="Y131" s="89"/>
      <c r="AA131" t="s">
        <v>726</v>
      </c>
    </row>
    <row r="132" spans="3:27" x14ac:dyDescent="0.25">
      <c r="C132" s="88"/>
      <c r="E132" s="29"/>
      <c r="F132" s="23" t="s">
        <v>189</v>
      </c>
      <c r="G132" s="23" t="s">
        <v>270</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25">
      <c r="C133" s="88"/>
      <c r="E133" s="29"/>
      <c r="F133" t="s">
        <v>191</v>
      </c>
      <c r="G133" t="s">
        <v>270</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25">
      <c r="C134" s="88"/>
      <c r="E134" s="29"/>
      <c r="F134" t="s">
        <v>192</v>
      </c>
      <c r="G134" t="s">
        <v>270</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25">
      <c r="C135" s="88"/>
      <c r="E135" s="29"/>
      <c r="F135" t="s">
        <v>193</v>
      </c>
      <c r="G135" t="s">
        <v>270</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25">
      <c r="C136" s="88"/>
      <c r="E136" s="29"/>
      <c r="F136" t="s">
        <v>194</v>
      </c>
      <c r="G136" t="s">
        <v>270</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25">
      <c r="C137" s="88"/>
      <c r="E137" s="29"/>
      <c r="F137" t="s">
        <v>195</v>
      </c>
      <c r="G137" t="s">
        <v>270</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25">
      <c r="C138" s="88"/>
      <c r="E138" s="29"/>
      <c r="F138" t="s">
        <v>196</v>
      </c>
      <c r="G138" t="s">
        <v>270</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25">
      <c r="C139" s="88"/>
      <c r="E139" s="29"/>
      <c r="F139" t="s">
        <v>197</v>
      </c>
      <c r="G139" t="s">
        <v>270</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25">
      <c r="C140" s="88"/>
      <c r="E140" s="29"/>
      <c r="F140" t="s">
        <v>198</v>
      </c>
      <c r="G140" t="s">
        <v>270</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25">
      <c r="C141" s="88"/>
      <c r="E141" s="29"/>
      <c r="F141" t="s">
        <v>199</v>
      </c>
      <c r="G141" t="s">
        <v>270</v>
      </c>
      <c r="J141" s="98">
        <f t="shared" ref="J141:K141" si="208">IF(J$129 = 0, 0, J109 / J$129)</f>
        <v>0.11489592504762079</v>
      </c>
      <c r="K141" s="98">
        <f t="shared" si="208"/>
        <v>0</v>
      </c>
      <c r="L141" s="98">
        <f t="shared" ref="L141:M141" si="209">IF(L$129 = 0, 0, L109 / L$129)</f>
        <v>0.11489592504762079</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25">
      <c r="C142" s="88"/>
      <c r="E142" s="29"/>
      <c r="F142" s="23" t="s">
        <v>376</v>
      </c>
      <c r="G142" s="23" t="s">
        <v>270</v>
      </c>
      <c r="H142" s="23"/>
      <c r="I142" s="23"/>
      <c r="J142" s="83"/>
      <c r="K142" s="83"/>
      <c r="L142" s="83"/>
      <c r="M142" s="83"/>
      <c r="N142" s="83"/>
      <c r="O142" s="83"/>
      <c r="P142" s="83"/>
      <c r="Q142" s="83"/>
      <c r="R142" s="83"/>
      <c r="S142" s="83"/>
      <c r="T142" s="83"/>
      <c r="U142" s="83"/>
      <c r="V142" s="83"/>
      <c r="W142" s="83"/>
      <c r="X142" s="83"/>
      <c r="Y142" s="83"/>
    </row>
    <row r="143" spans="3:27" x14ac:dyDescent="0.25">
      <c r="C143" s="88"/>
      <c r="E143" s="29"/>
      <c r="F143" s="37" t="s">
        <v>377</v>
      </c>
      <c r="G143" s="37" t="s">
        <v>270</v>
      </c>
      <c r="H143" s="37"/>
      <c r="I143" s="37"/>
      <c r="J143" s="81"/>
      <c r="K143" s="81"/>
      <c r="L143" s="81"/>
      <c r="M143" s="81"/>
      <c r="N143" s="81"/>
      <c r="O143" s="81"/>
      <c r="P143" s="81"/>
      <c r="Q143" s="81"/>
      <c r="R143" s="81"/>
      <c r="S143" s="81"/>
      <c r="T143" s="81"/>
      <c r="U143" s="81"/>
      <c r="V143" s="81"/>
      <c r="W143" s="81"/>
      <c r="X143" s="81"/>
      <c r="Y143" s="81"/>
    </row>
    <row r="144" spans="3:27" x14ac:dyDescent="0.25">
      <c r="C144" s="88"/>
      <c r="D144"/>
      <c r="E144" s="29"/>
      <c r="J144" s="89"/>
      <c r="K144" s="89"/>
      <c r="L144" s="89"/>
      <c r="M144" s="89"/>
      <c r="N144" s="89"/>
      <c r="O144" s="89"/>
      <c r="P144" s="89"/>
      <c r="Q144" s="89"/>
      <c r="R144" s="89"/>
      <c r="S144" s="89"/>
      <c r="T144" s="89"/>
      <c r="U144" s="89"/>
      <c r="V144" s="89"/>
      <c r="W144" s="89"/>
      <c r="X144" s="89"/>
      <c r="Y144" s="89"/>
    </row>
    <row r="145" spans="3:27" x14ac:dyDescent="0.25">
      <c r="C145" s="88"/>
      <c r="E145" s="32" t="s">
        <v>622</v>
      </c>
      <c r="J145" s="89"/>
      <c r="K145" s="89"/>
      <c r="L145" s="89"/>
      <c r="M145" s="89"/>
      <c r="N145" s="89"/>
      <c r="O145" s="89"/>
      <c r="P145" s="89"/>
      <c r="Q145" s="89"/>
      <c r="R145" s="89"/>
      <c r="S145" s="89"/>
      <c r="T145" s="89"/>
      <c r="U145" s="89"/>
      <c r="V145" s="89"/>
      <c r="W145" s="89"/>
      <c r="X145" s="89"/>
      <c r="Y145" s="89"/>
    </row>
    <row r="146" spans="3:27" x14ac:dyDescent="0.25">
      <c r="C146" s="88"/>
      <c r="F146" s="23" t="s">
        <v>189</v>
      </c>
      <c r="G146" s="23" t="s">
        <v>270</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25">
      <c r="C147" s="88"/>
      <c r="F147" t="s">
        <v>191</v>
      </c>
      <c r="G147" t="s">
        <v>270</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25">
      <c r="C148" s="88"/>
      <c r="F148" t="s">
        <v>192</v>
      </c>
      <c r="G148" t="s">
        <v>270</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25">
      <c r="C149" s="88"/>
      <c r="F149" t="s">
        <v>193</v>
      </c>
      <c r="G149" t="s">
        <v>270</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25">
      <c r="C150" s="88"/>
      <c r="F150" t="s">
        <v>194</v>
      </c>
      <c r="G150" t="s">
        <v>270</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25">
      <c r="C151" s="88"/>
      <c r="F151" t="s">
        <v>195</v>
      </c>
      <c r="G151" t="s">
        <v>270</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25">
      <c r="C152" s="88"/>
      <c r="F152" t="s">
        <v>196</v>
      </c>
      <c r="G152" t="s">
        <v>270</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25">
      <c r="C153" s="88"/>
      <c r="F153" t="s">
        <v>197</v>
      </c>
      <c r="G153" t="s">
        <v>270</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25">
      <c r="C154" s="88"/>
      <c r="F154" t="s">
        <v>198</v>
      </c>
      <c r="G154" t="s">
        <v>270</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25">
      <c r="C155" s="88"/>
      <c r="F155" t="s">
        <v>199</v>
      </c>
      <c r="G155" t="s">
        <v>270</v>
      </c>
      <c r="J155" s="98">
        <f t="shared" ref="J155:K155" si="278">IF(J$129 = 0, 0, J123 / J$129)</f>
        <v>2.9057299158534242</v>
      </c>
      <c r="K155" s="98">
        <f t="shared" si="278"/>
        <v>0</v>
      </c>
      <c r="L155" s="98">
        <f t="shared" ref="L155:M155" si="279">IF(L$129 = 0, 0, L123 / L$129)</f>
        <v>2.9057299158534242</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25">
      <c r="C156" s="88"/>
      <c r="D156"/>
      <c r="F156" s="23" t="s">
        <v>376</v>
      </c>
      <c r="G156" s="23" t="s">
        <v>270</v>
      </c>
      <c r="H156" s="23"/>
      <c r="I156" s="23"/>
      <c r="J156" s="126">
        <f t="shared" ref="J156:K156" si="285">J55</f>
        <v>3.5969460392824226</v>
      </c>
      <c r="K156" s="126">
        <f t="shared" si="285"/>
        <v>0</v>
      </c>
      <c r="L156" s="126">
        <f t="shared" ref="L156:M156" si="286">L55</f>
        <v>6.508441043752045</v>
      </c>
      <c r="M156" s="126">
        <f t="shared" si="286"/>
        <v>0</v>
      </c>
      <c r="N156" s="126">
        <f t="shared" ref="N156:P156" si="287">N55</f>
        <v>29.576050526927716</v>
      </c>
      <c r="O156" s="126">
        <f t="shared" si="287"/>
        <v>54.802244524365939</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25">
      <c r="C157" s="88"/>
      <c r="D157"/>
      <c r="F157" s="37" t="s">
        <v>377</v>
      </c>
      <c r="G157" s="37" t="s">
        <v>270</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307.23294745941183</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498.32981028380851</v>
      </c>
      <c r="Y157" s="100">
        <f t="shared" si="298"/>
        <v>498.32981028380851</v>
      </c>
    </row>
    <row r="158" spans="3:27" x14ac:dyDescent="0.25">
      <c r="C158" s="88"/>
      <c r="J158" s="89"/>
      <c r="K158" s="89"/>
      <c r="L158" s="89"/>
      <c r="M158" s="89"/>
      <c r="N158" s="89"/>
      <c r="O158" s="89"/>
      <c r="P158" s="89"/>
      <c r="Q158" s="89"/>
      <c r="R158" s="89"/>
      <c r="S158" s="89"/>
      <c r="T158" s="89"/>
      <c r="U158" s="89"/>
      <c r="V158" s="89"/>
      <c r="W158" s="89"/>
      <c r="X158" s="89"/>
      <c r="Y158" s="89"/>
    </row>
    <row r="159" spans="3:27" x14ac:dyDescent="0.25">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25">
      <c r="C160" s="88"/>
      <c r="J160" s="89"/>
      <c r="K160" s="89"/>
      <c r="L160" s="89"/>
      <c r="M160" s="89"/>
      <c r="N160" s="89"/>
      <c r="O160" s="89"/>
      <c r="P160" s="89"/>
      <c r="Q160" s="89"/>
      <c r="R160" s="89"/>
      <c r="S160" s="89"/>
      <c r="T160" s="89"/>
      <c r="U160" s="89"/>
      <c r="V160" s="89"/>
      <c r="W160" s="89"/>
      <c r="X160" s="89"/>
      <c r="Y160" s="89"/>
    </row>
    <row r="161" spans="2:27" x14ac:dyDescent="0.25">
      <c r="E161" t="s">
        <v>159</v>
      </c>
      <c r="G161" t="s">
        <v>270</v>
      </c>
      <c r="J161" s="121">
        <f t="shared" ref="J161:K161" si="299">SUM(J132:J143,J146:J157)</f>
        <v>6.6175718801834673</v>
      </c>
      <c r="K161" s="121">
        <f t="shared" si="299"/>
        <v>0</v>
      </c>
      <c r="L161" s="121">
        <f t="shared" ref="L161:M161" si="300">SUM(L132:L143,L146:L157)</f>
        <v>9.5290668846530906</v>
      </c>
      <c r="M161" s="121">
        <f t="shared" si="300"/>
        <v>0</v>
      </c>
      <c r="N161" s="121">
        <f t="shared" ref="N161:P161" si="301">SUM(N132:N143,N146:N157)</f>
        <v>29.576050526927716</v>
      </c>
      <c r="O161" s="121">
        <f t="shared" si="301"/>
        <v>54.802244524365939</v>
      </c>
      <c r="P161" s="121">
        <f t="shared" si="301"/>
        <v>307.23294745941183</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498.32981028380851</v>
      </c>
      <c r="Y161" s="121">
        <f>SUM(Y132:Y143,Y146:Y157)</f>
        <v>498.32981028380851</v>
      </c>
    </row>
    <row r="163" spans="2:27" x14ac:dyDescent="0.25">
      <c r="B163" s="30" t="s">
        <v>231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25">
      <c r="C165" s="88"/>
      <c r="E165" t="s">
        <v>232</v>
      </c>
      <c r="G165" s="6" t="s">
        <v>55</v>
      </c>
      <c r="H165" s="26">
        <f t="array" ref="H165">SUM(IF(ISERROR(H18:Y161), 1))</f>
        <v>0</v>
      </c>
    </row>
    <row r="167" spans="2:27" x14ac:dyDescent="0.25">
      <c r="B167" s="30" t="s">
        <v>106</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25">
      <c r="C169" s="88"/>
    </row>
  </sheetData>
  <sheetProtection sheet="1" objects="1" formatCells="0" formatColumns="0" formatRows="0" sort="0" autoFilter="0"/>
  <conditionalFormatting sqref="H165">
    <cfRule type="cellIs" dxfId="49" priority="10" operator="greaterThan">
      <formula>0</formula>
    </cfRule>
  </conditionalFormatting>
  <conditionalFormatting sqref="A4:I4 Z4:XFD4">
    <cfRule type="expression" dxfId="48" priority="9">
      <formula>LEFT($A$4,1) &lt;&gt; "0"</formula>
    </cfRule>
  </conditionalFormatting>
  <conditionalFormatting sqref="N4:P4">
    <cfRule type="expression" dxfId="47" priority="8">
      <formula>LEFT($A$4,1) &lt;&gt; "0"</formula>
    </cfRule>
  </conditionalFormatting>
  <conditionalFormatting sqref="L4:M4">
    <cfRule type="expression" dxfId="46" priority="7">
      <formula>LEFT($A$4,1) &lt;&gt; "0"</formula>
    </cfRule>
  </conditionalFormatting>
  <conditionalFormatting sqref="J4:K4">
    <cfRule type="expression" dxfId="45" priority="6">
      <formula>LEFT($A$4,1) &lt;&gt; "0"</formula>
    </cfRule>
  </conditionalFormatting>
  <conditionalFormatting sqref="Q4">
    <cfRule type="expression" dxfId="44" priority="5">
      <formula>LEFT($A$4,1) &lt;&gt; "0"</formula>
    </cfRule>
  </conditionalFormatting>
  <conditionalFormatting sqref="R4:S4">
    <cfRule type="expression" dxfId="43" priority="4">
      <formula>LEFT($A$4,1) &lt;&gt; "0"</formula>
    </cfRule>
  </conditionalFormatting>
  <conditionalFormatting sqref="T4:U4">
    <cfRule type="expression" dxfId="42" priority="3">
      <formula>LEFT($A$4,1) &lt;&gt; "0"</formula>
    </cfRule>
  </conditionalFormatting>
  <conditionalFormatting sqref="V4:W4">
    <cfRule type="expression" dxfId="41" priority="2">
      <formula>LEFT($A$4,1) &lt;&gt; "0"</formula>
    </cfRule>
  </conditionalFormatting>
  <conditionalFormatting sqref="X4:Y4">
    <cfRule type="expression" dxfId="40" priority="1">
      <formula>LEFT($A$4,1) &lt;&gt; "0"</formula>
    </cfRule>
  </conditionalFormatting>
  <hyperlinks>
    <hyperlink ref="B5:F5" location="'Model map'!A1" display="Click here to return to model map" xr:uid="{00000000-0004-0000-16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theme="4" tint="0.59999389629810485"/>
    <pageSetUpPr fitToPage="1"/>
  </sheetPr>
  <dimension ref="A1:ON164"/>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outlineLevelRow="1" x14ac:dyDescent="0.25"/>
  <cols>
    <col min="1" max="3" width="2.5703125" customWidth="1"/>
    <col min="4" max="5" width="2.5703125" style="2" customWidth="1"/>
    <col min="6" max="6" width="59.5703125" customWidth="1"/>
    <col min="7" max="8" width="20.5703125" customWidth="1"/>
    <col min="9" max="9" width="2.42578125" customWidth="1"/>
    <col min="10" max="57" width="17" customWidth="1"/>
    <col min="58" max="58" width="2.42578125" customWidth="1"/>
    <col min="59" max="59" width="50.5703125" customWidth="1"/>
    <col min="60" max="60" width="2.42578125" customWidth="1"/>
    <col min="61" max="61" width="24.5703125" hidden="1" customWidth="1"/>
    <col min="62" max="62" width="3.5703125" hidden="1" customWidth="1"/>
    <col min="63" max="63" width="15.42578125" hidden="1" customWidth="1"/>
    <col min="64" max="404" width="24.5703125" hidden="1" customWidth="1"/>
    <col min="405" max="16384" width="8.5703125" hidden="1"/>
  </cols>
  <sheetData>
    <row r="1" spans="1:59" s="1" customFormat="1" x14ac:dyDescent="0.25">
      <c r="A1" s="1" t="str">
        <f ca="1">MID(CELL("filename",A1),FIND("]",CELL("filename",A1))+1,255)</f>
        <v>Revenue matching</v>
      </c>
    </row>
    <row r="2" spans="1:59" s="1" customFormat="1" x14ac:dyDescent="0.25">
      <c r="A2" s="1" t="str">
        <f>Cover!D21&amp;" - "&amp;Cover!D23</f>
        <v xml:space="preserve">SHEPD  - Final </v>
      </c>
    </row>
    <row r="3" spans="1:59" s="5" customFormat="1" x14ac:dyDescent="0.25">
      <c r="A3" s="5" t="str">
        <f>Cover!D2&amp;" - "&amp;Cover!D8&amp;" v"&amp;Cover!D10&amp;" - "&amp;Cover!D19</f>
        <v>CDCM charging model - Release for charge setting v5 - 2021/22</v>
      </c>
    </row>
    <row r="4" spans="1:59" x14ac:dyDescent="0.25">
      <c r="A4" s="12" t="str">
        <f>H162 &amp; IF(H162 = 1, " issue", " issues") &amp;" identified in checks on this sheet"</f>
        <v>0 issues identified in checks on this sheet</v>
      </c>
      <c r="B4" s="13"/>
      <c r="C4" s="13"/>
      <c r="D4" s="13"/>
      <c r="E4" s="13"/>
      <c r="F4" s="13"/>
      <c r="G4" s="13"/>
      <c r="H4" s="14"/>
      <c r="I4" s="14"/>
    </row>
    <row r="5" spans="1:59" ht="60" x14ac:dyDescent="0.25">
      <c r="B5" s="59" t="s">
        <v>142</v>
      </c>
      <c r="C5" s="60"/>
      <c r="D5" s="60"/>
      <c r="E5" s="60"/>
      <c r="F5" s="60"/>
      <c r="G5" s="60" t="s">
        <v>143</v>
      </c>
      <c r="H5" s="114" t="s">
        <v>144</v>
      </c>
      <c r="J5" s="114" t="s">
        <v>940</v>
      </c>
      <c r="K5" s="114" t="s">
        <v>942</v>
      </c>
      <c r="L5" s="114" t="s">
        <v>941</v>
      </c>
      <c r="M5" s="114" t="s">
        <v>943</v>
      </c>
      <c r="N5" s="114" t="s">
        <v>949</v>
      </c>
      <c r="O5" s="114" t="s">
        <v>950</v>
      </c>
      <c r="P5" s="114" t="s">
        <v>951</v>
      </c>
      <c r="Q5" s="114" t="s">
        <v>952</v>
      </c>
      <c r="R5" s="114" t="s">
        <v>944</v>
      </c>
      <c r="S5" s="114" t="s">
        <v>945</v>
      </c>
      <c r="T5" s="114" t="s">
        <v>946</v>
      </c>
      <c r="U5" s="114" t="s">
        <v>955</v>
      </c>
      <c r="V5" s="114" t="s">
        <v>947</v>
      </c>
      <c r="W5" s="114" t="s">
        <v>954</v>
      </c>
      <c r="X5" s="114" t="s">
        <v>948</v>
      </c>
      <c r="Y5" s="114" t="s">
        <v>953</v>
      </c>
      <c r="BG5" s="61" t="s">
        <v>145</v>
      </c>
    </row>
    <row r="6" spans="1:59" x14ac:dyDescent="0.25">
      <c r="C6" s="88"/>
    </row>
    <row r="7" spans="1:59"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row>
    <row r="9" spans="1:59" x14ac:dyDescent="0.25">
      <c r="D9" s="29" t="s">
        <v>730</v>
      </c>
    </row>
    <row r="10" spans="1:59" x14ac:dyDescent="0.25">
      <c r="D10" s="29" t="s">
        <v>731</v>
      </c>
      <c r="E10"/>
    </row>
    <row r="11" spans="1:59" x14ac:dyDescent="0.25">
      <c r="D11" s="29" t="s">
        <v>732</v>
      </c>
    </row>
    <row r="13" spans="1:59" x14ac:dyDescent="0.25">
      <c r="B13" s="30" t="s">
        <v>733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row>
    <row r="14" spans="1:59" x14ac:dyDescent="0.25">
      <c r="C14" s="88"/>
    </row>
    <row r="15" spans="1:59" x14ac:dyDescent="0.25">
      <c r="C15" s="31" t="str">
        <f ca="1">INDEX('Version control'!$H$34:$H$57,MATCH($A$1,'Version control'!$F$34:$F$57,0),1)&amp;"-A: Inputs to revenue matching"</f>
        <v>Section 115-A: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row>
    <row r="16" spans="1:59" x14ac:dyDescent="0.25">
      <c r="C16" s="29"/>
      <c r="J16" s="63"/>
      <c r="K16" s="63"/>
      <c r="L16" s="63"/>
      <c r="M16" s="63"/>
      <c r="N16" s="63"/>
      <c r="O16" s="63"/>
      <c r="P16" s="63"/>
      <c r="Q16" s="63"/>
      <c r="R16" s="63"/>
      <c r="S16" s="63"/>
      <c r="T16" s="63"/>
      <c r="U16" s="63"/>
      <c r="V16" s="63"/>
      <c r="W16" s="63"/>
      <c r="X16" s="63"/>
      <c r="Y16" s="63"/>
    </row>
    <row r="17" spans="4:59" x14ac:dyDescent="0.25">
      <c r="D17" s="29" t="s">
        <v>734</v>
      </c>
      <c r="F17" s="2"/>
    </row>
    <row r="18" spans="4:59" x14ac:dyDescent="0.25">
      <c r="D18" s="88"/>
      <c r="F18" s="2"/>
    </row>
    <row r="19" spans="4:59" x14ac:dyDescent="0.25">
      <c r="D19"/>
      <c r="E19" s="32" t="s">
        <v>735</v>
      </c>
      <c r="F19" s="32"/>
    </row>
    <row r="20" spans="4:59" x14ac:dyDescent="0.25">
      <c r="D20"/>
      <c r="E20" s="88"/>
      <c r="F20" s="23" t="s">
        <v>156</v>
      </c>
      <c r="G20" s="23" t="s">
        <v>269</v>
      </c>
      <c r="H20" s="270"/>
      <c r="I20" s="270"/>
      <c r="J20" s="286">
        <f>'Unit rate charges'!J217</f>
        <v>9.8203681498151312</v>
      </c>
      <c r="K20" s="286">
        <f>'Unit rate charges'!K217</f>
        <v>9.8203681498151312</v>
      </c>
      <c r="L20" s="286">
        <f>'Unit rate charges'!L217</f>
        <v>10.255356168000093</v>
      </c>
      <c r="M20" s="286">
        <f>'Unit rate charges'!M217</f>
        <v>10.255356168000093</v>
      </c>
      <c r="N20" s="286">
        <f>'Unit rate charges'!N217</f>
        <v>7.7300298317786229</v>
      </c>
      <c r="O20" s="286">
        <f>'Unit rate charges'!O217</f>
        <v>3.917424895049189</v>
      </c>
      <c r="P20" s="286">
        <f>'Unit rate charges'!P217</f>
        <v>2.7417958672948952</v>
      </c>
      <c r="Q20" s="286">
        <f>'Unit rate charges'!Q217</f>
        <v>22.016762373135332</v>
      </c>
      <c r="R20" s="286">
        <f>'Unit rate charges'!R217</f>
        <v>-7.0400663600224984</v>
      </c>
      <c r="S20" s="286">
        <f>'Unit rate charges'!S217</f>
        <v>-6.3183521781843845</v>
      </c>
      <c r="T20" s="286">
        <f>'Unit rate charges'!T217</f>
        <v>-7.0400663600224984</v>
      </c>
      <c r="U20" s="286">
        <f>'Unit rate charges'!U217</f>
        <v>-7.0400663600224984</v>
      </c>
      <c r="V20" s="286">
        <f>'Unit rate charges'!V217</f>
        <v>-6.3183521781843845</v>
      </c>
      <c r="W20" s="286">
        <f>'Unit rate charges'!W217</f>
        <v>-6.3183521781843845</v>
      </c>
      <c r="X20" s="286">
        <f>'Unit rate charges'!X217</f>
        <v>-3.4601529888602931</v>
      </c>
      <c r="Y20" s="286">
        <f>'Unit rate charges'!Y217</f>
        <v>-3.4601529888602931</v>
      </c>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2"/>
      <c r="AW20" s="272"/>
      <c r="AX20" s="272"/>
      <c r="AY20" s="272"/>
      <c r="AZ20" s="272"/>
      <c r="BA20" s="272"/>
      <c r="BB20" s="272"/>
      <c r="BC20" s="272"/>
      <c r="BD20" s="272"/>
      <c r="BE20" s="272"/>
      <c r="BF20" s="272"/>
      <c r="BG20" s="272"/>
    </row>
    <row r="21" spans="4:59" x14ac:dyDescent="0.25">
      <c r="D21"/>
      <c r="E21" s="88"/>
      <c r="F21" t="s">
        <v>157</v>
      </c>
      <c r="G21" t="s">
        <v>269</v>
      </c>
      <c r="H21" s="272"/>
      <c r="I21" s="272"/>
      <c r="J21" s="287">
        <f>'Unit rate charges'!J218</f>
        <v>1.5208162021666733</v>
      </c>
      <c r="K21" s="287">
        <f>'Unit rate charges'!K218</f>
        <v>1.5208162021666733</v>
      </c>
      <c r="L21" s="287">
        <f>'Unit rate charges'!L218</f>
        <v>1.5881799522534263</v>
      </c>
      <c r="M21" s="287">
        <f>'Unit rate charges'!M218</f>
        <v>1.5881799522534263</v>
      </c>
      <c r="N21" s="287">
        <f>'Unit rate charges'!N218</f>
        <v>1.1885514481269401</v>
      </c>
      <c r="O21" s="287">
        <f>'Unit rate charges'!O218</f>
        <v>0.58481610826012864</v>
      </c>
      <c r="P21" s="287">
        <f>'Unit rate charges'!P218</f>
        <v>0.39560382977467057</v>
      </c>
      <c r="Q21" s="287">
        <f>'Unit rate charges'!Q218</f>
        <v>3.7741727713773781</v>
      </c>
      <c r="R21" s="287">
        <f>'Unit rate charges'!R218</f>
        <v>-1.0902490437542633</v>
      </c>
      <c r="S21" s="287">
        <f>'Unit rate charges'!S218</f>
        <v>-0.97545424417849347</v>
      </c>
      <c r="T21" s="287">
        <f>'Unit rate charges'!T218</f>
        <v>-1.0902490437542633</v>
      </c>
      <c r="U21" s="287">
        <f>'Unit rate charges'!U218</f>
        <v>-1.0902490437542633</v>
      </c>
      <c r="V21" s="287">
        <f>'Unit rate charges'!V218</f>
        <v>-0.97545424417849347</v>
      </c>
      <c r="W21" s="287">
        <f>'Unit rate charges'!W218</f>
        <v>-0.97545424417849347</v>
      </c>
      <c r="X21" s="287">
        <f>'Unit rate charges'!X218</f>
        <v>-0.51650220466529395</v>
      </c>
      <c r="Y21" s="287">
        <f>'Unit rate charges'!Y218</f>
        <v>-0.51650220466529395</v>
      </c>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row>
    <row r="22" spans="4:59" x14ac:dyDescent="0.25">
      <c r="D22"/>
      <c r="E22" s="88"/>
      <c r="F22" t="s">
        <v>158</v>
      </c>
      <c r="G22" t="s">
        <v>269</v>
      </c>
      <c r="H22" s="272"/>
      <c r="I22" s="272"/>
      <c r="J22" s="287">
        <f>'Unit rate charges'!J219</f>
        <v>0.69838914936034457</v>
      </c>
      <c r="K22" s="287">
        <f>'Unit rate charges'!K219</f>
        <v>0.69838914936034457</v>
      </c>
      <c r="L22" s="287">
        <f>'Unit rate charges'!L219</f>
        <v>0.72932392770751431</v>
      </c>
      <c r="M22" s="287">
        <f>'Unit rate charges'!M219</f>
        <v>0.72932392770751431</v>
      </c>
      <c r="N22" s="287">
        <f>'Unit rate charges'!N219</f>
        <v>0.54326912302024566</v>
      </c>
      <c r="O22" s="287">
        <f>'Unit rate charges'!O219</f>
        <v>0.2620730222910021</v>
      </c>
      <c r="P22" s="287">
        <f>'Unit rate charges'!P219</f>
        <v>0.1730603787833048</v>
      </c>
      <c r="Q22" s="287">
        <f>'Unit rate charges'!Q219</f>
        <v>2.7644213867021152</v>
      </c>
      <c r="R22" s="287">
        <f>'Unit rate charges'!R219</f>
        <v>-0.5006641178425727</v>
      </c>
      <c r="S22" s="287">
        <f>'Unit rate charges'!S219</f>
        <v>-0.44704928923359355</v>
      </c>
      <c r="T22" s="287">
        <f>'Unit rate charges'!T219</f>
        <v>-0.5006641178425727</v>
      </c>
      <c r="U22" s="287">
        <f>'Unit rate charges'!U219</f>
        <v>-0.5006641178425727</v>
      </c>
      <c r="V22" s="287">
        <f>'Unit rate charges'!V219</f>
        <v>-0.44704928923359355</v>
      </c>
      <c r="W22" s="287">
        <f>'Unit rate charges'!W219</f>
        <v>-0.44704928923359355</v>
      </c>
      <c r="X22" s="287">
        <f>'Unit rate charges'!X219</f>
        <v>-0.23144428706139836</v>
      </c>
      <c r="Y22" s="287">
        <f>'Unit rate charges'!Y219</f>
        <v>-0.23144428706139836</v>
      </c>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row>
    <row r="23" spans="4:59" x14ac:dyDescent="0.25">
      <c r="D23"/>
      <c r="E23" s="88"/>
      <c r="F23" t="s">
        <v>159</v>
      </c>
      <c r="G23" t="s">
        <v>270</v>
      </c>
      <c r="J23" s="120">
        <f>'Fixed charges'!J161</f>
        <v>6.6175718801834673</v>
      </c>
      <c r="K23" s="120">
        <f>'Fixed charges'!K161</f>
        <v>0</v>
      </c>
      <c r="L23" s="120">
        <f>'Fixed charges'!L161</f>
        <v>9.5290668846530906</v>
      </c>
      <c r="M23" s="120">
        <f>'Fixed charges'!M161</f>
        <v>0</v>
      </c>
      <c r="N23" s="120">
        <f>'Fixed charges'!N161</f>
        <v>29.576050526927716</v>
      </c>
      <c r="O23" s="120">
        <f>'Fixed charges'!O161</f>
        <v>54.802244524365939</v>
      </c>
      <c r="P23" s="120">
        <f>'Fixed charges'!P161</f>
        <v>307.23294745941183</v>
      </c>
      <c r="Q23" s="120">
        <f>'Fixed charges'!Q161</f>
        <v>0</v>
      </c>
      <c r="R23" s="120">
        <f>'Fixed charges'!R161</f>
        <v>0</v>
      </c>
      <c r="S23" s="120">
        <f>'Fixed charges'!S161</f>
        <v>0</v>
      </c>
      <c r="T23" s="120">
        <f>'Fixed charges'!T161</f>
        <v>0</v>
      </c>
      <c r="U23" s="120">
        <f>'Fixed charges'!U161</f>
        <v>0</v>
      </c>
      <c r="V23" s="120">
        <f>'Fixed charges'!V161</f>
        <v>0</v>
      </c>
      <c r="W23" s="120">
        <f>'Fixed charges'!W161</f>
        <v>0</v>
      </c>
      <c r="X23" s="120">
        <f>'Fixed charges'!X161</f>
        <v>498.32981028380851</v>
      </c>
      <c r="Y23" s="120">
        <f>'Fixed charges'!Y161</f>
        <v>498.32981028380851</v>
      </c>
    </row>
    <row r="24" spans="4:59" x14ac:dyDescent="0.25">
      <c r="D24"/>
      <c r="E24" s="88"/>
      <c r="F24" t="s">
        <v>160</v>
      </c>
      <c r="G24" t="s">
        <v>271</v>
      </c>
      <c r="J24" s="120">
        <f>'Capacity charges'!J256</f>
        <v>0</v>
      </c>
      <c r="K24" s="120">
        <f>'Capacity charges'!K256</f>
        <v>0</v>
      </c>
      <c r="L24" s="120">
        <f>'Capacity charges'!L256</f>
        <v>0</v>
      </c>
      <c r="M24" s="120">
        <f>'Capacity charges'!M256</f>
        <v>0</v>
      </c>
      <c r="N24" s="120">
        <f>'Capacity charges'!N256</f>
        <v>5.1440159705455697</v>
      </c>
      <c r="O24" s="120">
        <f>'Capacity charges'!O256</f>
        <v>8.3306434828431062</v>
      </c>
      <c r="P24" s="120">
        <f>'Capacity charges'!P256</f>
        <v>11.113457295581</v>
      </c>
      <c r="Q24" s="120">
        <f>'Capacity charges'!Q256</f>
        <v>0</v>
      </c>
      <c r="R24" s="120">
        <f>'Capacity charges'!R256</f>
        <v>0</v>
      </c>
      <c r="S24" s="120">
        <f>'Capacity charges'!S256</f>
        <v>0</v>
      </c>
      <c r="T24" s="120">
        <f>'Capacity charges'!T256</f>
        <v>0</v>
      </c>
      <c r="U24" s="120">
        <f>'Capacity charges'!U256</f>
        <v>0</v>
      </c>
      <c r="V24" s="120">
        <f>'Capacity charges'!V256</f>
        <v>0</v>
      </c>
      <c r="W24" s="120">
        <f>'Capacity charges'!W256</f>
        <v>0</v>
      </c>
      <c r="X24" s="120">
        <f>'Capacity charges'!X256</f>
        <v>0</v>
      </c>
      <c r="Y24" s="120">
        <f>'Capacity charges'!Y256</f>
        <v>0</v>
      </c>
    </row>
    <row r="25" spans="4:59" x14ac:dyDescent="0.25">
      <c r="D25"/>
      <c r="E25" s="88"/>
      <c r="F25" t="s">
        <v>161</v>
      </c>
      <c r="G25" t="s">
        <v>271</v>
      </c>
      <c r="J25" s="120">
        <f>'Capacity charges'!J257</f>
        <v>0</v>
      </c>
      <c r="K25" s="120">
        <f>'Capacity charges'!K257</f>
        <v>0</v>
      </c>
      <c r="L25" s="120">
        <f>'Capacity charges'!L257</f>
        <v>0</v>
      </c>
      <c r="M25" s="120">
        <f>'Capacity charges'!M257</f>
        <v>0</v>
      </c>
      <c r="N25" s="120">
        <f>'Capacity charges'!N257</f>
        <v>9.1762338963144749</v>
      </c>
      <c r="O25" s="120">
        <f>'Capacity charges'!O257</f>
        <v>11.393186401103572</v>
      </c>
      <c r="P25" s="120">
        <f>'Capacity charges'!P257</f>
        <v>13.027486250063824</v>
      </c>
      <c r="Q25" s="120">
        <f>'Capacity charges'!Q257</f>
        <v>0</v>
      </c>
      <c r="R25" s="120">
        <f>'Capacity charges'!R257</f>
        <v>0</v>
      </c>
      <c r="S25" s="120">
        <f>'Capacity charges'!S257</f>
        <v>0</v>
      </c>
      <c r="T25" s="120">
        <f>'Capacity charges'!T257</f>
        <v>0</v>
      </c>
      <c r="U25" s="120">
        <f>'Capacity charges'!U257</f>
        <v>0</v>
      </c>
      <c r="V25" s="120">
        <f>'Capacity charges'!V257</f>
        <v>0</v>
      </c>
      <c r="W25" s="120">
        <f>'Capacity charges'!W257</f>
        <v>0</v>
      </c>
      <c r="X25" s="120">
        <f>'Capacity charges'!X257</f>
        <v>0</v>
      </c>
      <c r="Y25" s="120">
        <f>'Capacity charges'!Y257</f>
        <v>0</v>
      </c>
    </row>
    <row r="26" spans="4:59" x14ac:dyDescent="0.25">
      <c r="D26"/>
      <c r="E26" s="88"/>
      <c r="F26" s="37" t="s">
        <v>162</v>
      </c>
      <c r="G26" s="37" t="s">
        <v>272</v>
      </c>
      <c r="H26" s="276"/>
      <c r="I26" s="276"/>
      <c r="J26" s="291">
        <f>'Reactive power charges'!J250</f>
        <v>0</v>
      </c>
      <c r="K26" s="291">
        <f>'Reactive power charges'!K250</f>
        <v>0</v>
      </c>
      <c r="L26" s="291">
        <f>'Reactive power charges'!L250</f>
        <v>0</v>
      </c>
      <c r="M26" s="291">
        <f>'Reactive power charges'!M250</f>
        <v>0</v>
      </c>
      <c r="N26" s="291">
        <f>'Reactive power charges'!N250</f>
        <v>0.27331421440687764</v>
      </c>
      <c r="O26" s="291">
        <f>'Reactive power charges'!O250</f>
        <v>0.1268234960859709</v>
      </c>
      <c r="P26" s="291">
        <f>'Reactive power charges'!P250</f>
        <v>8.943027690120936E-2</v>
      </c>
      <c r="Q26" s="291">
        <f>'Reactive power charges'!Q250</f>
        <v>0</v>
      </c>
      <c r="R26" s="291">
        <f>'Reactive power charges'!R250</f>
        <v>0</v>
      </c>
      <c r="S26" s="291">
        <f>'Reactive power charges'!S250</f>
        <v>0</v>
      </c>
      <c r="T26" s="291">
        <f>'Reactive power charges'!T250</f>
        <v>0.26353316215755945</v>
      </c>
      <c r="U26" s="291">
        <f>'Reactive power charges'!U250</f>
        <v>0</v>
      </c>
      <c r="V26" s="291">
        <f>'Reactive power charges'!V250</f>
        <v>0.22238816388478141</v>
      </c>
      <c r="W26" s="291">
        <f>'Reactive power charges'!W250</f>
        <v>0</v>
      </c>
      <c r="X26" s="291">
        <f>'Reactive power charges'!X250</f>
        <v>0.20330260311142292</v>
      </c>
      <c r="Y26" s="291">
        <f>'Reactive power charges'!Y250</f>
        <v>0</v>
      </c>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72"/>
      <c r="AV26" s="272"/>
      <c r="AW26" s="272"/>
      <c r="AX26" s="272"/>
      <c r="AY26" s="272"/>
      <c r="AZ26" s="272"/>
      <c r="BA26" s="272"/>
      <c r="BB26" s="272"/>
      <c r="BC26" s="272"/>
      <c r="BD26" s="272"/>
      <c r="BE26" s="272"/>
      <c r="BF26" s="272"/>
      <c r="BG26" s="272"/>
    </row>
    <row r="27" spans="4:59" x14ac:dyDescent="0.25">
      <c r="D27"/>
      <c r="E27" s="88"/>
      <c r="J27" s="89"/>
      <c r="K27" s="89"/>
      <c r="L27" s="89"/>
      <c r="M27" s="89"/>
      <c r="N27" s="89"/>
      <c r="O27" s="89"/>
      <c r="P27" s="89"/>
      <c r="Q27" s="89"/>
      <c r="R27" s="89"/>
      <c r="S27" s="89"/>
      <c r="T27" s="89"/>
      <c r="U27" s="89"/>
      <c r="V27" s="89"/>
      <c r="W27" s="89"/>
      <c r="X27" s="89"/>
      <c r="Y27" s="89"/>
    </row>
    <row r="28" spans="4:59" x14ac:dyDescent="0.25">
      <c r="D28"/>
      <c r="E28" s="32" t="s">
        <v>736</v>
      </c>
      <c r="J28" s="89"/>
      <c r="K28" s="89"/>
      <c r="L28" s="89"/>
      <c r="M28" s="89"/>
      <c r="N28" s="89"/>
      <c r="O28" s="89"/>
      <c r="P28" s="89"/>
      <c r="Q28" s="89"/>
      <c r="R28" s="89"/>
      <c r="S28" s="89"/>
      <c r="T28" s="89"/>
      <c r="U28" s="89"/>
      <c r="V28" s="89"/>
      <c r="W28" s="89"/>
      <c r="X28" s="89"/>
      <c r="Y28" s="89"/>
    </row>
    <row r="29" spans="4:59" x14ac:dyDescent="0.25">
      <c r="D29" s="88"/>
      <c r="F29" s="23" t="s">
        <v>156</v>
      </c>
      <c r="G29" s="23" t="s">
        <v>207</v>
      </c>
      <c r="H29" s="23"/>
      <c r="I29" s="23"/>
      <c r="J29" s="124">
        <f>'Volume adjustments'!J66</f>
        <v>311831.94582317385</v>
      </c>
      <c r="K29" s="124">
        <f>'Volume adjustments'!K66</f>
        <v>8828.0434583187307</v>
      </c>
      <c r="L29" s="124">
        <f>'Volume adjustments'!L66</f>
        <v>102378.72879148643</v>
      </c>
      <c r="M29" s="124">
        <f>'Volume adjustments'!M66</f>
        <v>3073.5191857693171</v>
      </c>
      <c r="N29" s="124">
        <f>'Volume adjustments'!N66</f>
        <v>139806.98097606294</v>
      </c>
      <c r="O29" s="124">
        <f>'Volume adjustments'!O66</f>
        <v>11206.437648372332</v>
      </c>
      <c r="P29" s="124">
        <f>'Volume adjustments'!P66</f>
        <v>74694.355628841644</v>
      </c>
      <c r="Q29" s="124">
        <f>'Volume adjustments'!Q66</f>
        <v>4349.8619861455727</v>
      </c>
      <c r="R29" s="124">
        <f>'Volume adjustments'!R66</f>
        <v>658.01792802705074</v>
      </c>
      <c r="S29" s="124">
        <f>'Volume adjustments'!S66</f>
        <v>0.40800000000000008</v>
      </c>
      <c r="T29" s="124">
        <f>'Volume adjustments'!T66</f>
        <v>34142.676188495534</v>
      </c>
      <c r="U29" s="124">
        <f>'Volume adjustments'!U66</f>
        <v>0</v>
      </c>
      <c r="V29" s="124">
        <f>'Volume adjustments'!V66</f>
        <v>353.5321999999997</v>
      </c>
      <c r="W29" s="124">
        <f>'Volume adjustments'!W66</f>
        <v>0</v>
      </c>
      <c r="X29" s="124">
        <f>'Volume adjustments'!X66</f>
        <v>152551.54503003714</v>
      </c>
      <c r="Y29" s="124">
        <f>'Volume adjustments'!Y66</f>
        <v>0</v>
      </c>
    </row>
    <row r="30" spans="4:59" x14ac:dyDescent="0.25">
      <c r="D30" s="88"/>
      <c r="F30" t="s">
        <v>157</v>
      </c>
      <c r="G30" t="s">
        <v>207</v>
      </c>
      <c r="J30" s="120">
        <f>'Volume adjustments'!J77</f>
        <v>1222053.7587079387</v>
      </c>
      <c r="K30" s="120">
        <f>'Volume adjustments'!K77</f>
        <v>150887.96998237175</v>
      </c>
      <c r="L30" s="120">
        <f>'Volume adjustments'!L77</f>
        <v>545261.70609176275</v>
      </c>
      <c r="M30" s="120">
        <f>'Volume adjustments'!M77</f>
        <v>14352.322991058796</v>
      </c>
      <c r="N30" s="120">
        <f>'Volume adjustments'!N77</f>
        <v>740397.98107946641</v>
      </c>
      <c r="O30" s="120">
        <f>'Volume adjustments'!O77</f>
        <v>58043.544338799831</v>
      </c>
      <c r="P30" s="120">
        <f>'Volume adjustments'!P77</f>
        <v>375984.60290363373</v>
      </c>
      <c r="Q30" s="120">
        <f>'Volume adjustments'!Q77</f>
        <v>30463.510485625775</v>
      </c>
      <c r="R30" s="120">
        <f>'Volume adjustments'!R77</f>
        <v>3421.5412500488133</v>
      </c>
      <c r="S30" s="120">
        <f>'Volume adjustments'!S77</f>
        <v>1.9430000000000009</v>
      </c>
      <c r="T30" s="120">
        <f>'Volume adjustments'!T77</f>
        <v>178906.97316231087</v>
      </c>
      <c r="U30" s="120">
        <f>'Volume adjustments'!U77</f>
        <v>0</v>
      </c>
      <c r="V30" s="120">
        <f>'Volume adjustments'!V77</f>
        <v>1533.9735999999987</v>
      </c>
      <c r="W30" s="120">
        <f>'Volume adjustments'!W77</f>
        <v>0</v>
      </c>
      <c r="X30" s="120">
        <f>'Volume adjustments'!X77</f>
        <v>747480.09120044974</v>
      </c>
      <c r="Y30" s="120">
        <f>'Volume adjustments'!Y77</f>
        <v>0</v>
      </c>
    </row>
    <row r="31" spans="4:59" x14ac:dyDescent="0.25">
      <c r="D31" s="88"/>
      <c r="F31" t="s">
        <v>158</v>
      </c>
      <c r="G31" t="s">
        <v>207</v>
      </c>
      <c r="J31" s="120">
        <f>'Volume adjustments'!J88</f>
        <v>1077177.8887757412</v>
      </c>
      <c r="K31" s="120">
        <f>'Volume adjustments'!K88</f>
        <v>223429.42078208068</v>
      </c>
      <c r="L31" s="120">
        <f>'Volume adjustments'!L88</f>
        <v>367147.65331594134</v>
      </c>
      <c r="M31" s="120">
        <f>'Volume adjustments'!M88</f>
        <v>17378.187088510807</v>
      </c>
      <c r="N31" s="120">
        <f>'Volume adjustments'!N88</f>
        <v>555413.37242437864</v>
      </c>
      <c r="O31" s="120">
        <f>'Volume adjustments'!O88</f>
        <v>54070.107464039262</v>
      </c>
      <c r="P31" s="120">
        <f>'Volume adjustments'!P88</f>
        <v>347717.92720260756</v>
      </c>
      <c r="Q31" s="120">
        <f>'Volume adjustments'!Q88</f>
        <v>58641.778056120806</v>
      </c>
      <c r="R31" s="120">
        <f>'Volume adjustments'!R88</f>
        <v>1824.0799299361463</v>
      </c>
      <c r="S31" s="120">
        <f>'Volume adjustments'!S88</f>
        <v>1.1440000000000006</v>
      </c>
      <c r="T31" s="120">
        <f>'Volume adjustments'!T88</f>
        <v>194968.53407257851</v>
      </c>
      <c r="U31" s="120">
        <f>'Volume adjustments'!U88</f>
        <v>0</v>
      </c>
      <c r="V31" s="120">
        <f>'Volume adjustments'!V88</f>
        <v>1544.822899999999</v>
      </c>
      <c r="W31" s="120">
        <f>'Volume adjustments'!W88</f>
        <v>0</v>
      </c>
      <c r="X31" s="120">
        <f>'Volume adjustments'!X88</f>
        <v>790777.23541179951</v>
      </c>
      <c r="Y31" s="120">
        <f>'Volume adjustments'!Y88</f>
        <v>0</v>
      </c>
    </row>
    <row r="32" spans="4:59" x14ac:dyDescent="0.25">
      <c r="D32" s="88"/>
      <c r="F32" t="s">
        <v>212</v>
      </c>
      <c r="G32" t="s">
        <v>212</v>
      </c>
      <c r="J32" s="120">
        <f>'Volume adjustments'!J103</f>
        <v>714246.25092537317</v>
      </c>
      <c r="K32" s="120">
        <f>'Volume adjustments'!K103</f>
        <v>70461.662878625808</v>
      </c>
      <c r="L32" s="120">
        <f>'Volume adjustments'!L103</f>
        <v>73679.769660750448</v>
      </c>
      <c r="M32" s="120">
        <f>'Volume adjustments'!M103</f>
        <v>2784.9059115721761</v>
      </c>
      <c r="N32" s="120">
        <f>'Volume adjustments'!N103</f>
        <v>6693.0816317456884</v>
      </c>
      <c r="O32" s="120">
        <f>'Volume adjustments'!O103</f>
        <v>111.81645052702237</v>
      </c>
      <c r="P32" s="120">
        <f>'Volume adjustments'!P103</f>
        <v>693.26526408438758</v>
      </c>
      <c r="Q32" s="120">
        <f>'Volume adjustments'!Q103</f>
        <v>2084.8369098714279</v>
      </c>
      <c r="R32" s="120">
        <f>'Volume adjustments'!R103</f>
        <v>351.61290322580641</v>
      </c>
      <c r="S32" s="120">
        <f>'Volume adjustments'!S103</f>
        <v>1</v>
      </c>
      <c r="T32" s="120">
        <f>'Volume adjustments'!T103</f>
        <v>775.9677419354847</v>
      </c>
      <c r="U32" s="120">
        <f>'Volume adjustments'!U103</f>
        <v>0</v>
      </c>
      <c r="V32" s="120">
        <f>'Volume adjustments'!V103</f>
        <v>1.9999999999999989</v>
      </c>
      <c r="W32" s="120">
        <f>'Volume adjustments'!W103</f>
        <v>0</v>
      </c>
      <c r="X32" s="120">
        <f>'Volume adjustments'!X103</f>
        <v>355.55640880208517</v>
      </c>
      <c r="Y32" s="120">
        <f>'Volume adjustments'!Y103</f>
        <v>0</v>
      </c>
    </row>
    <row r="33" spans="2:59" x14ac:dyDescent="0.25">
      <c r="D33" s="88"/>
      <c r="F33" t="s">
        <v>737</v>
      </c>
      <c r="G33" t="s">
        <v>251</v>
      </c>
      <c r="J33" s="120">
        <f>'Volume adjustments'!J114</f>
        <v>0</v>
      </c>
      <c r="K33" s="120">
        <f>'Volume adjustments'!K114</f>
        <v>0</v>
      </c>
      <c r="L33" s="120">
        <f>'Volume adjustments'!L114</f>
        <v>0</v>
      </c>
      <c r="M33" s="120">
        <f>'Volume adjustments'!M114</f>
        <v>0</v>
      </c>
      <c r="N33" s="120">
        <f>'Volume adjustments'!N114</f>
        <v>872379.33373795042</v>
      </c>
      <c r="O33" s="120">
        <f>'Volume adjustments'!O114</f>
        <v>34023.586342600902</v>
      </c>
      <c r="P33" s="120">
        <f>'Volume adjustments'!P114</f>
        <v>409616.60927004361</v>
      </c>
      <c r="Q33" s="120">
        <f>'Volume adjustments'!Q114</f>
        <v>0</v>
      </c>
      <c r="R33" s="120">
        <f>'Volume adjustments'!R114</f>
        <v>0</v>
      </c>
      <c r="S33" s="120">
        <f>'Volume adjustments'!S114</f>
        <v>0</v>
      </c>
      <c r="T33" s="120">
        <f>'Volume adjustments'!T114</f>
        <v>0</v>
      </c>
      <c r="U33" s="120">
        <f>'Volume adjustments'!U114</f>
        <v>0</v>
      </c>
      <c r="V33" s="120">
        <f>'Volume adjustments'!V114</f>
        <v>0</v>
      </c>
      <c r="W33" s="120">
        <f>'Volume adjustments'!W114</f>
        <v>0</v>
      </c>
      <c r="X33" s="120">
        <f>'Volume adjustments'!X114</f>
        <v>0</v>
      </c>
      <c r="Y33" s="120">
        <f>'Volume adjustments'!Y114</f>
        <v>0</v>
      </c>
    </row>
    <row r="34" spans="2:59" x14ac:dyDescent="0.25">
      <c r="D34" s="88"/>
      <c r="F34" t="s">
        <v>252</v>
      </c>
      <c r="G34" t="s">
        <v>251</v>
      </c>
      <c r="J34" s="120">
        <f>'Volume adjustments'!J125</f>
        <v>0</v>
      </c>
      <c r="K34" s="120">
        <f>'Volume adjustments'!K125</f>
        <v>0</v>
      </c>
      <c r="L34" s="120">
        <f>'Volume adjustments'!L125</f>
        <v>0</v>
      </c>
      <c r="M34" s="120">
        <f>'Volume adjustments'!M125</f>
        <v>0</v>
      </c>
      <c r="N34" s="120">
        <f>'Volume adjustments'!N125</f>
        <v>20525.648946439502</v>
      </c>
      <c r="O34" s="120">
        <f>'Volume adjustments'!O125</f>
        <v>1172.4448121461803</v>
      </c>
      <c r="P34" s="120">
        <f>'Volume adjustments'!P125</f>
        <v>8108.4019897747849</v>
      </c>
      <c r="Q34" s="120">
        <f>'Volume adjustments'!Q125</f>
        <v>0</v>
      </c>
      <c r="R34" s="120">
        <f>'Volume adjustments'!R125</f>
        <v>0</v>
      </c>
      <c r="S34" s="120">
        <f>'Volume adjustments'!S125</f>
        <v>0</v>
      </c>
      <c r="T34" s="120">
        <f>'Volume adjustments'!T125</f>
        <v>0</v>
      </c>
      <c r="U34" s="120">
        <f>'Volume adjustments'!U125</f>
        <v>0</v>
      </c>
      <c r="V34" s="120">
        <f>'Volume adjustments'!V125</f>
        <v>0</v>
      </c>
      <c r="W34" s="120">
        <f>'Volume adjustments'!W125</f>
        <v>0</v>
      </c>
      <c r="X34" s="120">
        <f>'Volume adjustments'!X125</f>
        <v>0</v>
      </c>
      <c r="Y34" s="120">
        <f>'Volume adjustments'!Y125</f>
        <v>0</v>
      </c>
    </row>
    <row r="35" spans="2:59" x14ac:dyDescent="0.25">
      <c r="D35" s="88"/>
      <c r="F35" s="37" t="s">
        <v>215</v>
      </c>
      <c r="G35" s="67" t="s">
        <v>254</v>
      </c>
      <c r="H35" s="37"/>
      <c r="I35" s="37"/>
      <c r="J35" s="125">
        <f>'Volume adjustments'!J136</f>
        <v>0</v>
      </c>
      <c r="K35" s="125">
        <f>'Volume adjustments'!K136</f>
        <v>0</v>
      </c>
      <c r="L35" s="125">
        <f>'Volume adjustments'!L136</f>
        <v>0</v>
      </c>
      <c r="M35" s="125">
        <f>'Volume adjustments'!M136</f>
        <v>0</v>
      </c>
      <c r="N35" s="125">
        <f>'Volume adjustments'!N136</f>
        <v>191004.05169309513</v>
      </c>
      <c r="O35" s="125">
        <f>'Volume adjustments'!O136</f>
        <v>9906.6253977300548</v>
      </c>
      <c r="P35" s="125">
        <f>'Volume adjustments'!P136</f>
        <v>127476.83918254296</v>
      </c>
      <c r="Q35" s="125">
        <f>'Volume adjustments'!Q136</f>
        <v>0</v>
      </c>
      <c r="R35" s="125">
        <f>'Volume adjustments'!R136</f>
        <v>0</v>
      </c>
      <c r="S35" s="125">
        <f>'Volume adjustments'!S136</f>
        <v>0</v>
      </c>
      <c r="T35" s="125">
        <f>'Volume adjustments'!T136</f>
        <v>25700.51612427906</v>
      </c>
      <c r="U35" s="125">
        <f>'Volume adjustments'!U136</f>
        <v>0</v>
      </c>
      <c r="V35" s="125">
        <f>'Volume adjustments'!V136</f>
        <v>0</v>
      </c>
      <c r="W35" s="125">
        <f>'Volume adjustments'!W136</f>
        <v>0</v>
      </c>
      <c r="X35" s="125">
        <f>'Volume adjustments'!X136</f>
        <v>41127.35854688855</v>
      </c>
      <c r="Y35" s="125">
        <f>'Volume adjustments'!Y136</f>
        <v>0</v>
      </c>
    </row>
    <row r="36" spans="2:59" x14ac:dyDescent="0.25">
      <c r="D36" s="88"/>
      <c r="F36" s="2"/>
      <c r="J36" s="63"/>
      <c r="K36" s="63"/>
      <c r="L36" s="63"/>
      <c r="M36" s="63"/>
      <c r="N36" s="63"/>
      <c r="O36" s="63"/>
      <c r="P36" s="63"/>
      <c r="Q36" s="63"/>
      <c r="R36" s="63"/>
      <c r="S36" s="63"/>
      <c r="T36" s="63"/>
      <c r="U36" s="63"/>
      <c r="V36" s="63"/>
      <c r="W36" s="63"/>
      <c r="X36" s="63"/>
      <c r="Y36" s="63"/>
    </row>
    <row r="37" spans="2:59" x14ac:dyDescent="0.25">
      <c r="D37" s="88"/>
      <c r="E37" t="s">
        <v>738</v>
      </c>
      <c r="G37" t="s">
        <v>277</v>
      </c>
      <c r="H37" s="120">
        <f>'General inputs'!$H$87</f>
        <v>245653706.80133021</v>
      </c>
      <c r="J37" s="63"/>
      <c r="K37" s="63"/>
      <c r="L37" s="63"/>
      <c r="M37" s="63"/>
      <c r="N37" s="63"/>
      <c r="O37" s="63"/>
      <c r="P37" s="63"/>
      <c r="Q37" s="63"/>
      <c r="R37" s="63"/>
      <c r="S37" s="63"/>
      <c r="T37" s="63"/>
      <c r="U37" s="63"/>
      <c r="V37" s="63"/>
      <c r="W37" s="63"/>
      <c r="X37" s="63"/>
      <c r="Y37" s="63"/>
    </row>
    <row r="38" spans="2:59" x14ac:dyDescent="0.25">
      <c r="D38" s="88"/>
      <c r="E38"/>
      <c r="H38" s="120"/>
      <c r="J38" s="63"/>
      <c r="K38" s="63"/>
      <c r="L38" s="63"/>
      <c r="M38" s="63"/>
      <c r="N38" s="63"/>
      <c r="O38" s="63"/>
      <c r="P38" s="63"/>
      <c r="Q38" s="63"/>
      <c r="R38" s="63"/>
      <c r="S38" s="63"/>
      <c r="T38" s="63"/>
      <c r="U38" s="63"/>
      <c r="V38" s="63"/>
      <c r="W38" s="63"/>
      <c r="X38" s="63"/>
      <c r="Y38" s="63"/>
    </row>
    <row r="39" spans="2:59" x14ac:dyDescent="0.25">
      <c r="D39" s="88"/>
      <c r="E39" s="32" t="s">
        <v>1035</v>
      </c>
      <c r="H39" s="120"/>
      <c r="J39" s="63"/>
      <c r="K39" s="63"/>
      <c r="L39" s="63"/>
      <c r="M39" s="63"/>
      <c r="N39" s="63"/>
      <c r="O39" s="63"/>
      <c r="P39" s="63"/>
      <c r="Q39" s="63"/>
      <c r="R39" s="63"/>
      <c r="S39" s="63"/>
      <c r="T39" s="63"/>
      <c r="U39" s="63"/>
      <c r="V39" s="63"/>
      <c r="W39" s="63"/>
      <c r="X39" s="63"/>
      <c r="Y39" s="63"/>
    </row>
    <row r="40" spans="2:59" x14ac:dyDescent="0.25">
      <c r="D40" s="88"/>
      <c r="F40" s="23" t="s">
        <v>1033</v>
      </c>
      <c r="G40" s="23" t="s">
        <v>277</v>
      </c>
      <c r="H40" s="124">
        <f>'General inputs'!$H$53</f>
        <v>110973.63110334201</v>
      </c>
      <c r="J40" s="63"/>
      <c r="K40" s="63"/>
      <c r="L40" s="63"/>
      <c r="M40" s="63"/>
      <c r="N40" s="63"/>
      <c r="O40" s="63"/>
      <c r="P40" s="63"/>
      <c r="Q40" s="63"/>
      <c r="R40" s="63"/>
      <c r="S40" s="63"/>
      <c r="T40" s="63"/>
      <c r="U40" s="63"/>
      <c r="V40" s="63"/>
      <c r="W40" s="63"/>
      <c r="X40" s="63"/>
      <c r="Y40" s="63"/>
    </row>
    <row r="41" spans="2:59" x14ac:dyDescent="0.25">
      <c r="C41" s="88"/>
      <c r="F41" s="37" t="s">
        <v>1034</v>
      </c>
      <c r="G41" s="37" t="s">
        <v>277</v>
      </c>
      <c r="H41" s="125">
        <f>'General inputs'!$H$54</f>
        <v>1324362.4650457399</v>
      </c>
      <c r="J41" s="63"/>
      <c r="K41" s="63"/>
      <c r="L41" s="63"/>
      <c r="M41" s="63"/>
      <c r="N41" s="63"/>
      <c r="O41" s="63"/>
      <c r="P41" s="63"/>
      <c r="Q41" s="63"/>
      <c r="R41" s="63"/>
      <c r="S41" s="63"/>
      <c r="T41" s="63"/>
      <c r="U41" s="63"/>
      <c r="V41" s="63"/>
      <c r="W41" s="63"/>
      <c r="X41" s="63"/>
      <c r="Y41" s="63"/>
    </row>
    <row r="42" spans="2:59" x14ac:dyDescent="0.25">
      <c r="C42" s="88"/>
      <c r="J42" s="63"/>
      <c r="K42" s="63"/>
      <c r="L42" s="63"/>
      <c r="M42" s="63"/>
      <c r="N42" s="63"/>
      <c r="O42" s="63"/>
      <c r="P42" s="63"/>
      <c r="Q42" s="63"/>
      <c r="R42" s="63"/>
      <c r="S42" s="63"/>
      <c r="T42" s="63"/>
      <c r="U42" s="63"/>
      <c r="V42" s="63"/>
      <c r="W42" s="63"/>
      <c r="X42" s="63"/>
      <c r="Y42" s="63"/>
    </row>
    <row r="43" spans="2:59" x14ac:dyDescent="0.25">
      <c r="C43" s="88"/>
      <c r="E43" t="s">
        <v>1049</v>
      </c>
      <c r="G43" t="s">
        <v>277</v>
      </c>
      <c r="H43" s="98">
        <f>H37 - H40 - H41</f>
        <v>244218370.70518112</v>
      </c>
      <c r="I43" t="s">
        <v>154</v>
      </c>
      <c r="J43" s="63"/>
      <c r="K43" s="63"/>
      <c r="L43" s="63"/>
      <c r="M43" s="63"/>
      <c r="N43" s="63"/>
      <c r="O43" s="63"/>
      <c r="P43" s="63"/>
      <c r="Q43" s="63"/>
      <c r="R43" s="63"/>
      <c r="S43" s="63"/>
      <c r="T43" s="63"/>
      <c r="U43" s="63"/>
      <c r="V43" s="63"/>
      <c r="W43" s="63"/>
      <c r="X43" s="63"/>
      <c r="Y43" s="63"/>
      <c r="BG43" t="s">
        <v>1065</v>
      </c>
    </row>
    <row r="44" spans="2:59" x14ac:dyDescent="0.25">
      <c r="C44" s="88"/>
      <c r="J44" s="63"/>
      <c r="K44" s="63"/>
      <c r="L44" s="63"/>
      <c r="M44" s="63"/>
      <c r="N44" s="63"/>
      <c r="O44" s="63"/>
      <c r="P44" s="63"/>
      <c r="Q44" s="63"/>
      <c r="R44" s="63"/>
      <c r="S44" s="63"/>
      <c r="T44" s="63"/>
      <c r="U44" s="63"/>
      <c r="V44" s="63"/>
      <c r="W44" s="63"/>
      <c r="X44" s="63"/>
      <c r="Y44" s="63"/>
    </row>
    <row r="45" spans="2:59" x14ac:dyDescent="0.25">
      <c r="C45" s="31" t="str">
        <f ca="1">INDEX('Version control'!$H$34:$H$57,MATCH($A$1,'Version control'!$F$34:$F$57,0),1)&amp;"-B: Net revenue before matching"</f>
        <v>Section 115-B: Net revenue before matching</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row>
    <row r="46" spans="2:59" x14ac:dyDescent="0.25">
      <c r="C46" s="29"/>
      <c r="J46" s="63"/>
      <c r="K46" s="63"/>
      <c r="L46" s="63"/>
      <c r="M46" s="63"/>
      <c r="N46" s="63"/>
      <c r="O46" s="63"/>
      <c r="P46" s="63"/>
      <c r="Q46" s="63"/>
      <c r="R46" s="63"/>
      <c r="S46" s="63"/>
      <c r="T46" s="63"/>
      <c r="U46" s="63"/>
      <c r="V46" s="63"/>
      <c r="W46" s="63"/>
      <c r="X46" s="63"/>
      <c r="Y46" s="63"/>
    </row>
    <row r="47" spans="2:59" x14ac:dyDescent="0.25">
      <c r="B47" s="29"/>
      <c r="D47" s="29" t="s">
        <v>739</v>
      </c>
      <c r="F47" s="2"/>
      <c r="J47" s="63"/>
      <c r="K47" s="63"/>
      <c r="L47" s="63"/>
      <c r="M47" s="63"/>
      <c r="N47" s="63"/>
      <c r="O47" s="63"/>
      <c r="P47" s="63"/>
      <c r="Q47" s="63"/>
      <c r="R47" s="63"/>
      <c r="S47" s="63"/>
      <c r="T47" s="63"/>
      <c r="U47" s="63"/>
      <c r="V47" s="63"/>
      <c r="W47" s="63"/>
      <c r="X47" s="63"/>
      <c r="Y47" s="63"/>
    </row>
    <row r="48" spans="2:59" x14ac:dyDescent="0.25">
      <c r="D48" s="29" t="s">
        <v>740</v>
      </c>
      <c r="F48" s="2"/>
      <c r="J48" s="63"/>
      <c r="K48" s="63"/>
      <c r="L48" s="63"/>
      <c r="M48" s="63"/>
      <c r="N48" s="63"/>
      <c r="O48" s="63"/>
      <c r="P48" s="63"/>
      <c r="Q48" s="63"/>
      <c r="R48" s="63"/>
      <c r="S48" s="63"/>
      <c r="T48" s="63"/>
      <c r="U48" s="63"/>
      <c r="V48" s="63"/>
      <c r="W48" s="63"/>
      <c r="X48" s="63"/>
      <c r="Y48" s="63"/>
    </row>
    <row r="49" spans="2:59" x14ac:dyDescent="0.25">
      <c r="D49" s="29"/>
      <c r="F49" s="2"/>
      <c r="J49" s="63"/>
      <c r="K49" s="63"/>
      <c r="L49" s="63"/>
      <c r="M49" s="63"/>
      <c r="N49" s="63"/>
      <c r="O49" s="63"/>
      <c r="P49" s="63"/>
      <c r="Q49" s="63"/>
      <c r="R49" s="63"/>
      <c r="S49" s="63"/>
      <c r="T49" s="63"/>
      <c r="U49" s="63"/>
      <c r="V49" s="63"/>
      <c r="W49" s="63"/>
      <c r="X49" s="63"/>
      <c r="Y49" s="63"/>
    </row>
    <row r="50" spans="2:59" x14ac:dyDescent="0.25">
      <c r="D50"/>
      <c r="E50" s="32" t="s">
        <v>741</v>
      </c>
      <c r="F50" s="32"/>
      <c r="H50" s="128" t="s">
        <v>545</v>
      </c>
      <c r="J50" s="63"/>
      <c r="K50" s="63"/>
      <c r="L50" s="63"/>
      <c r="M50" s="63"/>
      <c r="N50" s="63"/>
      <c r="O50" s="63"/>
      <c r="P50" s="63"/>
      <c r="Q50" s="63"/>
      <c r="R50" s="63"/>
      <c r="S50" s="63"/>
      <c r="T50" s="63"/>
      <c r="U50" s="63"/>
      <c r="V50" s="63"/>
      <c r="W50" s="63"/>
      <c r="X50" s="63"/>
      <c r="Y50" s="63"/>
    </row>
    <row r="51" spans="2:59" x14ac:dyDescent="0.25">
      <c r="D51" s="88"/>
      <c r="F51" s="23" t="s">
        <v>156</v>
      </c>
      <c r="G51" s="23" t="s">
        <v>277</v>
      </c>
      <c r="H51" s="158">
        <f t="shared" ref="H51:H58" si="0">SUM(J51:Y51)</f>
        <v>48805413.728460751</v>
      </c>
      <c r="I51" s="129"/>
      <c r="J51" s="126">
        <f t="shared" ref="J51:K51" si="1">J29 * thousand * J20 / hundred</f>
        <v>30623045.088567745</v>
      </c>
      <c r="K51" s="126">
        <f t="shared" si="1"/>
        <v>866946.36803257093</v>
      </c>
      <c r="L51" s="126">
        <f t="shared" ref="L51:M51" si="2">L29 * thousand * L20 / hundred</f>
        <v>10499303.277837791</v>
      </c>
      <c r="M51" s="126">
        <f t="shared" si="2"/>
        <v>315200.33939245989</v>
      </c>
      <c r="N51" s="126">
        <f t="shared" ref="N51:P51" si="3">N29 * thousand * N20 / hundred</f>
        <v>10807121.336358732</v>
      </c>
      <c r="O51" s="126">
        <f t="shared" si="3"/>
        <v>439003.77828550263</v>
      </c>
      <c r="P51" s="126">
        <f t="shared" si="3"/>
        <v>2047966.7557341319</v>
      </c>
      <c r="Q51" s="126">
        <f t="shared" ref="Q51:S51" si="4">Q29 * thousand * Q20 / hundred</f>
        <v>957698.77704901574</v>
      </c>
      <c r="R51" s="126">
        <f t="shared" si="4"/>
        <v>-46324.898793949447</v>
      </c>
      <c r="S51" s="126">
        <f t="shared" si="4"/>
        <v>-25.778876886992293</v>
      </c>
      <c r="T51" s="126">
        <f t="shared" ref="T51:U51" si="5">T29 * thousand * T20 / hundred</f>
        <v>-2403667.0607576855</v>
      </c>
      <c r="U51" s="126">
        <f t="shared" si="5"/>
        <v>0</v>
      </c>
      <c r="V51" s="126">
        <f t="shared" ref="V51:W51" si="6">V29 * thousand * V20 / hundred</f>
        <v>-22337.409459283157</v>
      </c>
      <c r="W51" s="126">
        <f t="shared" si="6"/>
        <v>0</v>
      </c>
      <c r="X51" s="126">
        <f t="shared" ref="X51:Y51" si="7">X29 * thousand * X20 / hundred</f>
        <v>-5278516.8449093858</v>
      </c>
      <c r="Y51" s="126">
        <f t="shared" si="7"/>
        <v>0</v>
      </c>
    </row>
    <row r="52" spans="2:59" x14ac:dyDescent="0.25">
      <c r="D52" s="88"/>
      <c r="F52" t="s">
        <v>157</v>
      </c>
      <c r="G52" t="s">
        <v>277</v>
      </c>
      <c r="H52" s="89">
        <f t="shared" si="0"/>
        <v>35680643.806627236</v>
      </c>
      <c r="I52" s="63"/>
      <c r="J52" s="98">
        <f t="shared" ref="J52:K52" si="8">J30 * thousand * J21 / hundred</f>
        <v>18585191.561617155</v>
      </c>
      <c r="K52" s="98">
        <f t="shared" si="8"/>
        <v>2294728.6946122963</v>
      </c>
      <c r="L52" s="98">
        <f t="shared" ref="L52:M52" si="9">L30 * thousand * L21 / hundred</f>
        <v>8659737.1034643762</v>
      </c>
      <c r="M52" s="98">
        <f t="shared" si="9"/>
        <v>227940.71642665513</v>
      </c>
      <c r="N52" s="98">
        <f t="shared" ref="N52:P52" si="10">N30 * thousand * N21 / hundred</f>
        <v>8800010.9260226265</v>
      </c>
      <c r="O52" s="98">
        <f t="shared" si="10"/>
        <v>339447.99709841138</v>
      </c>
      <c r="P52" s="98">
        <f t="shared" si="10"/>
        <v>1487409.4884498622</v>
      </c>
      <c r="Q52" s="98">
        <f t="shared" ref="Q52:S52" si="11">Q30 * thousand * Q21 / hundred</f>
        <v>1149745.5179541805</v>
      </c>
      <c r="R52" s="98">
        <f t="shared" si="11"/>
        <v>-37303.320760314855</v>
      </c>
      <c r="S52" s="98">
        <f t="shared" si="11"/>
        <v>-18.953075964388137</v>
      </c>
      <c r="T52" s="98">
        <f t="shared" ref="T52:U52" si="12">T30 * thousand * T21 / hundred</f>
        <v>-1950531.5641117906</v>
      </c>
      <c r="U52" s="98">
        <f t="shared" si="12"/>
        <v>0</v>
      </c>
      <c r="V52" s="98">
        <f t="shared" ref="V52:W52" si="13">V30 * thousand * V21 / hundred</f>
        <v>-14963.210585777613</v>
      </c>
      <c r="W52" s="98">
        <f t="shared" si="13"/>
        <v>0</v>
      </c>
      <c r="X52" s="98">
        <f t="shared" ref="X52:Y52" si="14">X30 * thousand * X21 / hundred</f>
        <v>-3860751.1504844725</v>
      </c>
      <c r="Y52" s="98">
        <f t="shared" si="14"/>
        <v>0</v>
      </c>
    </row>
    <row r="53" spans="2:59" x14ac:dyDescent="0.25">
      <c r="D53" s="88"/>
      <c r="F53" t="s">
        <v>158</v>
      </c>
      <c r="G53" t="s">
        <v>277</v>
      </c>
      <c r="H53" s="89">
        <f t="shared" si="0"/>
        <v>14447309.652705647</v>
      </c>
      <c r="I53" s="63"/>
      <c r="J53" s="98">
        <f t="shared" ref="J53:K53" si="15">J31 * thousand * J22 / hundred</f>
        <v>7522893.4945186172</v>
      </c>
      <c r="K53" s="98">
        <f t="shared" si="15"/>
        <v>1560406.8312207183</v>
      </c>
      <c r="L53" s="98">
        <f t="shared" ref="L53:M53" si="16">L31 * thousand * L22 / hundred</f>
        <v>2677695.6856497913</v>
      </c>
      <c r="M53" s="98">
        <f t="shared" si="16"/>
        <v>126743.27663828716</v>
      </c>
      <c r="N53" s="98">
        <f t="shared" ref="N53:P53" si="17">N31 * thousand * N22 / hundred</f>
        <v>3017389.3575070929</v>
      </c>
      <c r="O53" s="98">
        <f t="shared" si="17"/>
        <v>141703.16478700039</v>
      </c>
      <c r="P53" s="98">
        <f t="shared" si="17"/>
        <v>601761.96191428869</v>
      </c>
      <c r="Q53" s="98">
        <f t="shared" ref="Q53:S53" si="18">Q31 * thousand * Q22 / hundred</f>
        <v>1621105.8541257915</v>
      </c>
      <c r="R53" s="98">
        <f t="shared" si="18"/>
        <v>-9132.5136899582249</v>
      </c>
      <c r="S53" s="98">
        <f t="shared" si="18"/>
        <v>-5.1142438688323129</v>
      </c>
      <c r="T53" s="98">
        <f t="shared" ref="T53:U53" si="19">T31 * thousand * T22 / hundred</f>
        <v>-976137.49118507106</v>
      </c>
      <c r="U53" s="98">
        <f t="shared" si="19"/>
        <v>0</v>
      </c>
      <c r="V53" s="98">
        <f t="shared" ref="V53:W53" si="20">V31 * thousand * V22 / hundred</f>
        <v>-6906.1197943677835</v>
      </c>
      <c r="W53" s="98">
        <f t="shared" si="20"/>
        <v>0</v>
      </c>
      <c r="X53" s="98">
        <f t="shared" ref="X53:Y53" si="21">X31 * thousand * X22 / hundred</f>
        <v>-1830208.7347426752</v>
      </c>
      <c r="Y53" s="98">
        <f t="shared" si="21"/>
        <v>0</v>
      </c>
    </row>
    <row r="54" spans="2:59" x14ac:dyDescent="0.25">
      <c r="D54" s="88"/>
      <c r="F54" t="s">
        <v>159</v>
      </c>
      <c r="G54" t="s">
        <v>277</v>
      </c>
      <c r="H54" s="89">
        <f t="shared" si="0"/>
        <v>21983717.713918746</v>
      </c>
      <c r="I54" s="63"/>
      <c r="J54" s="98">
        <f t="shared" ref="J54:K54" si="22">J32 * J23 * days_in_year / hundred</f>
        <v>17252002.055623282</v>
      </c>
      <c r="K54" s="98">
        <f t="shared" si="22"/>
        <v>0</v>
      </c>
      <c r="L54" s="98">
        <f t="shared" ref="L54:M54" si="23">L32 * L23 * days_in_year / hundred</f>
        <v>2562663.0039724046</v>
      </c>
      <c r="M54" s="98">
        <f t="shared" si="23"/>
        <v>0</v>
      </c>
      <c r="N54" s="98">
        <f t="shared" ref="N54:P54" si="24">N32 * N23 * days_in_year / hundred</f>
        <v>722535.45990297233</v>
      </c>
      <c r="O54" s="98">
        <f t="shared" si="24"/>
        <v>22366.442492244194</v>
      </c>
      <c r="P54" s="98">
        <f t="shared" si="24"/>
        <v>777427.8461639398</v>
      </c>
      <c r="Q54" s="98">
        <f t="shared" ref="Q54:S54" si="25">Q32 * Q23 * days_in_year / hundred</f>
        <v>0</v>
      </c>
      <c r="R54" s="98">
        <f t="shared" si="25"/>
        <v>0</v>
      </c>
      <c r="S54" s="98">
        <f t="shared" si="25"/>
        <v>0</v>
      </c>
      <c r="T54" s="98">
        <f t="shared" ref="T54:U54" si="26">T32 * T23 * days_in_year / hundred</f>
        <v>0</v>
      </c>
      <c r="U54" s="98">
        <f t="shared" si="26"/>
        <v>0</v>
      </c>
      <c r="V54" s="98">
        <f t="shared" ref="V54:W54" si="27">V32 * V23 * days_in_year / hundred</f>
        <v>0</v>
      </c>
      <c r="W54" s="98">
        <f t="shared" si="27"/>
        <v>0</v>
      </c>
      <c r="X54" s="98">
        <f t="shared" ref="X54:Y54" si="28">X32 * X23 * days_in_year / hundred</f>
        <v>646722.9057639041</v>
      </c>
      <c r="Y54" s="98">
        <f t="shared" si="28"/>
        <v>0</v>
      </c>
    </row>
    <row r="55" spans="2:59" x14ac:dyDescent="0.25">
      <c r="D55" s="88"/>
      <c r="F55" t="s">
        <v>737</v>
      </c>
      <c r="G55" t="s">
        <v>277</v>
      </c>
      <c r="H55" s="89">
        <f t="shared" si="0"/>
        <v>34029783.249861091</v>
      </c>
      <c r="I55" s="63"/>
      <c r="J55" s="98">
        <f t="shared" ref="J55:K55" si="29">J33 * J24 * days_in_year / hundred</f>
        <v>0</v>
      </c>
      <c r="K55" s="98">
        <f t="shared" si="29"/>
        <v>0</v>
      </c>
      <c r="L55" s="98">
        <f t="shared" ref="L55:M55" si="30">L33 * L24 * days_in_year / hundred</f>
        <v>0</v>
      </c>
      <c r="M55" s="98">
        <f t="shared" si="30"/>
        <v>0</v>
      </c>
      <c r="N55" s="98">
        <f t="shared" ref="N55:P55" si="31">N33 * N24 * days_in_year / hundred</f>
        <v>16379496.27169501</v>
      </c>
      <c r="O55" s="98">
        <f t="shared" si="31"/>
        <v>1034550.0425719735</v>
      </c>
      <c r="P55" s="98">
        <f t="shared" si="31"/>
        <v>16615736.93559411</v>
      </c>
      <c r="Q55" s="98">
        <f t="shared" ref="Q55:S55" si="32">Q33 * Q24 * days_in_year / hundred</f>
        <v>0</v>
      </c>
      <c r="R55" s="98">
        <f t="shared" si="32"/>
        <v>0</v>
      </c>
      <c r="S55" s="98">
        <f t="shared" si="32"/>
        <v>0</v>
      </c>
      <c r="T55" s="98">
        <f t="shared" ref="T55:U55" si="33">T33 * T24 * days_in_year / hundred</f>
        <v>0</v>
      </c>
      <c r="U55" s="98">
        <f t="shared" si="33"/>
        <v>0</v>
      </c>
      <c r="V55" s="98">
        <f t="shared" ref="V55:W55" si="34">V33 * V24 * days_in_year / hundred</f>
        <v>0</v>
      </c>
      <c r="W55" s="98">
        <f t="shared" si="34"/>
        <v>0</v>
      </c>
      <c r="X55" s="98">
        <f t="shared" ref="X55:Y55" si="35">X33 * X24 * days_in_year / hundred</f>
        <v>0</v>
      </c>
      <c r="Y55" s="98">
        <f t="shared" si="35"/>
        <v>0</v>
      </c>
    </row>
    <row r="56" spans="2:59" x14ac:dyDescent="0.25">
      <c r="D56" s="88"/>
      <c r="F56" t="s">
        <v>252</v>
      </c>
      <c r="G56" t="s">
        <v>277</v>
      </c>
      <c r="H56" s="89">
        <f t="shared" si="0"/>
        <v>1121784.1866462477</v>
      </c>
      <c r="I56" s="63"/>
      <c r="J56" s="98">
        <f t="shared" ref="J56:K56" si="36">J34 * J25 * days_in_year / hundred</f>
        <v>0</v>
      </c>
      <c r="K56" s="98">
        <f t="shared" si="36"/>
        <v>0</v>
      </c>
      <c r="L56" s="98">
        <f t="shared" ref="L56:M56" si="37">L34 * L25 * days_in_year / hundred</f>
        <v>0</v>
      </c>
      <c r="M56" s="98">
        <f t="shared" si="37"/>
        <v>0</v>
      </c>
      <c r="N56" s="98">
        <f t="shared" ref="N56:P56" si="38">N34 * N25 * days_in_year / hundred</f>
        <v>687470.7679625192</v>
      </c>
      <c r="O56" s="98">
        <f t="shared" si="38"/>
        <v>48756.27035772727</v>
      </c>
      <c r="P56" s="98">
        <f t="shared" si="38"/>
        <v>385557.14832600125</v>
      </c>
      <c r="Q56" s="98">
        <f t="shared" ref="Q56:S56" si="39">Q34 * Q25 * days_in_year / hundred</f>
        <v>0</v>
      </c>
      <c r="R56" s="98">
        <f t="shared" si="39"/>
        <v>0</v>
      </c>
      <c r="S56" s="98">
        <f t="shared" si="39"/>
        <v>0</v>
      </c>
      <c r="T56" s="98">
        <f t="shared" ref="T56:U56" si="40">T34 * T25 * days_in_year / hundred</f>
        <v>0</v>
      </c>
      <c r="U56" s="98">
        <f t="shared" si="40"/>
        <v>0</v>
      </c>
      <c r="V56" s="98">
        <f t="shared" ref="V56:W56" si="41">V34 * V25 * days_in_year / hundred</f>
        <v>0</v>
      </c>
      <c r="W56" s="98">
        <f t="shared" si="41"/>
        <v>0</v>
      </c>
      <c r="X56" s="98">
        <f t="shared" ref="X56:Y56" si="42">X34 * X25 * days_in_year / hundred</f>
        <v>0</v>
      </c>
      <c r="Y56" s="98">
        <f t="shared" si="42"/>
        <v>0</v>
      </c>
    </row>
    <row r="57" spans="2:59" x14ac:dyDescent="0.25">
      <c r="D57" s="88"/>
      <c r="F57" s="37" t="s">
        <v>215</v>
      </c>
      <c r="G57" s="67" t="s">
        <v>277</v>
      </c>
      <c r="H57" s="82">
        <f t="shared" si="0"/>
        <v>799950.41565960762</v>
      </c>
      <c r="I57" s="130"/>
      <c r="J57" s="100">
        <f t="shared" ref="J57:K57" si="43">J35 * thousand * J26 / hundred</f>
        <v>0</v>
      </c>
      <c r="K57" s="100">
        <f t="shared" si="43"/>
        <v>0</v>
      </c>
      <c r="L57" s="100">
        <f t="shared" ref="L57:M57" si="44">L35 * thousand * L26 / hundred</f>
        <v>0</v>
      </c>
      <c r="M57" s="100">
        <f t="shared" si="44"/>
        <v>0</v>
      </c>
      <c r="N57" s="100">
        <f t="shared" ref="N57:P57" si="45">N35 * thousand * N26 / hundred</f>
        <v>522041.22337028943</v>
      </c>
      <c r="O57" s="100">
        <f t="shared" si="45"/>
        <v>12563.928673541974</v>
      </c>
      <c r="P57" s="100">
        <f t="shared" si="45"/>
        <v>114002.89026585751</v>
      </c>
      <c r="Q57" s="100">
        <f t="shared" ref="Q57:S57" si="46">Q35 * thousand * Q26 / hundred</f>
        <v>0</v>
      </c>
      <c r="R57" s="100">
        <f t="shared" si="46"/>
        <v>0</v>
      </c>
      <c r="S57" s="100">
        <f t="shared" si="46"/>
        <v>0</v>
      </c>
      <c r="T57" s="100">
        <f t="shared" ref="T57:U57" si="47">T35 * thousand * T26 / hundred</f>
        <v>67729.382833126045</v>
      </c>
      <c r="U57" s="100">
        <f t="shared" si="47"/>
        <v>0</v>
      </c>
      <c r="V57" s="100">
        <f t="shared" ref="V57:W57" si="48">V35 * thousand * V26 / hundred</f>
        <v>0</v>
      </c>
      <c r="W57" s="100">
        <f t="shared" si="48"/>
        <v>0</v>
      </c>
      <c r="X57" s="100">
        <f t="shared" ref="X57:Y57" si="49">X35 * thousand * X26 / hundred</f>
        <v>83612.990516792706</v>
      </c>
      <c r="Y57" s="100">
        <f t="shared" si="49"/>
        <v>0</v>
      </c>
    </row>
    <row r="58" spans="2:59" x14ac:dyDescent="0.25">
      <c r="D58"/>
      <c r="E58" s="29"/>
      <c r="F58" s="108" t="s">
        <v>100</v>
      </c>
      <c r="G58" s="152" t="s">
        <v>277</v>
      </c>
      <c r="H58" s="167">
        <f t="shared" si="0"/>
        <v>156868602.75387937</v>
      </c>
      <c r="I58" s="168"/>
      <c r="J58" s="153">
        <f t="shared" ref="J58:K58" si="50">SUM(J51:J57)</f>
        <v>73983132.2003268</v>
      </c>
      <c r="K58" s="153">
        <f t="shared" si="50"/>
        <v>4722081.8938655853</v>
      </c>
      <c r="L58" s="153">
        <f t="shared" ref="L58:M58" si="51">SUM(L51:L57)</f>
        <v>24399399.07092436</v>
      </c>
      <c r="M58" s="153">
        <f t="shared" si="51"/>
        <v>669884.33245740214</v>
      </c>
      <c r="N58" s="153">
        <f t="shared" ref="N58:P58" si="52">SUM(N51:N57)</f>
        <v>40936065.342819251</v>
      </c>
      <c r="O58" s="153">
        <f t="shared" si="52"/>
        <v>2038391.6242664014</v>
      </c>
      <c r="P58" s="153">
        <f t="shared" si="52"/>
        <v>22029863.02644819</v>
      </c>
      <c r="Q58" s="153">
        <f t="shared" ref="Q58:S58" si="53">SUM(Q51:Q57)</f>
        <v>3728550.1491289875</v>
      </c>
      <c r="R58" s="153">
        <f t="shared" si="53"/>
        <v>-92760.733244222531</v>
      </c>
      <c r="S58" s="153">
        <f t="shared" si="53"/>
        <v>-49.846196720212738</v>
      </c>
      <c r="T58" s="153">
        <f t="shared" ref="T58:U58" si="54">SUM(T51:T57)</f>
        <v>-5262606.733221421</v>
      </c>
      <c r="U58" s="153">
        <f t="shared" si="54"/>
        <v>0</v>
      </c>
      <c r="V58" s="153">
        <f t="shared" ref="V58:W58" si="55">SUM(V51:V57)</f>
        <v>-44206.739839428556</v>
      </c>
      <c r="W58" s="153">
        <f t="shared" si="55"/>
        <v>0</v>
      </c>
      <c r="X58" s="153">
        <f t="shared" ref="X58:Y58" si="56">SUM(X51:X57)</f>
        <v>-10239140.833855836</v>
      </c>
      <c r="Y58" s="153">
        <f t="shared" si="56"/>
        <v>0</v>
      </c>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row>
    <row r="59" spans="2:59" x14ac:dyDescent="0.25">
      <c r="D59"/>
      <c r="E59" s="32"/>
      <c r="F59" s="29"/>
      <c r="H59" s="89"/>
    </row>
    <row r="60" spans="2:59" x14ac:dyDescent="0.25">
      <c r="D60" s="88"/>
      <c r="E60" t="s">
        <v>742</v>
      </c>
      <c r="G60" t="s">
        <v>277</v>
      </c>
      <c r="H60" s="98">
        <f>H43 - H58</f>
        <v>87349767.951301754</v>
      </c>
      <c r="I60" s="210" t="s">
        <v>154</v>
      </c>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t="s">
        <v>743</v>
      </c>
    </row>
    <row r="61" spans="2:59" x14ac:dyDescent="0.25">
      <c r="C61" s="88"/>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row>
    <row r="62" spans="2:59" x14ac:dyDescent="0.25">
      <c r="B62" s="30" t="s">
        <v>744</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row>
    <row r="63" spans="2:59" x14ac:dyDescent="0.25">
      <c r="C63" s="29"/>
    </row>
    <row r="64" spans="2:59" x14ac:dyDescent="0.25">
      <c r="C64" s="29" t="s">
        <v>745</v>
      </c>
    </row>
    <row r="65" spans="3:59" x14ac:dyDescent="0.25">
      <c r="C65" s="29" t="s">
        <v>746</v>
      </c>
    </row>
    <row r="66" spans="3:59" x14ac:dyDescent="0.25">
      <c r="C66" s="29" t="s">
        <v>747</v>
      </c>
    </row>
    <row r="67" spans="3:59" x14ac:dyDescent="0.25">
      <c r="C67" s="29"/>
    </row>
    <row r="68" spans="3:59" x14ac:dyDescent="0.25">
      <c r="C68" s="31" t="str">
        <f ca="1">INDEX('Version control'!$H$34:$H$57,MATCH($A$1,'Version control'!$F$34:$F$57,0),1)&amp;"-C: Calculation of unconstrained adder solution"</f>
        <v>Section 115-C: Calculation of unconstrained adder solution</v>
      </c>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row>
    <row r="69" spans="3:59" x14ac:dyDescent="0.25">
      <c r="D69" s="88"/>
    </row>
    <row r="70" spans="3:59" x14ac:dyDescent="0.25">
      <c r="E70" s="32" t="s">
        <v>748</v>
      </c>
      <c r="H70" s="210"/>
      <c r="I70" s="210"/>
    </row>
    <row r="71" spans="3:59" x14ac:dyDescent="0.25">
      <c r="E71" s="29" t="s">
        <v>749</v>
      </c>
      <c r="H71" s="210"/>
      <c r="I71" s="210"/>
    </row>
    <row r="72" spans="3:59" x14ac:dyDescent="0.25">
      <c r="D72"/>
      <c r="E72" s="29" t="s">
        <v>750</v>
      </c>
      <c r="H72" s="210"/>
      <c r="I72" s="210"/>
    </row>
    <row r="73" spans="3:59" x14ac:dyDescent="0.25">
      <c r="D73"/>
      <c r="E73" s="29" t="s">
        <v>751</v>
      </c>
      <c r="H73" s="210"/>
      <c r="I73" s="210"/>
    </row>
    <row r="74" spans="3:59" x14ac:dyDescent="0.25">
      <c r="C74" s="88"/>
      <c r="F74" s="23" t="s">
        <v>752</v>
      </c>
      <c r="G74" s="23" t="s">
        <v>269</v>
      </c>
      <c r="H74" s="270"/>
      <c r="I74" s="270"/>
      <c r="J74" s="289">
        <f t="shared" ref="J74:K74" si="57">-J20</f>
        <v>-9.8203681498151312</v>
      </c>
      <c r="K74" s="289">
        <f t="shared" si="57"/>
        <v>-9.8203681498151312</v>
      </c>
      <c r="L74" s="289">
        <f t="shared" ref="L74:M74" si="58">-L20</f>
        <v>-10.255356168000093</v>
      </c>
      <c r="M74" s="289">
        <f t="shared" si="58"/>
        <v>-10.255356168000093</v>
      </c>
      <c r="N74" s="289">
        <f t="shared" ref="N74:P74" si="59">-N20</f>
        <v>-7.7300298317786229</v>
      </c>
      <c r="O74" s="289">
        <f t="shared" si="59"/>
        <v>-3.917424895049189</v>
      </c>
      <c r="P74" s="289">
        <f t="shared" si="59"/>
        <v>-2.7417958672948952</v>
      </c>
      <c r="Q74" s="289">
        <f t="shared" ref="Q74:S74" si="60">-Q20</f>
        <v>-22.016762373135332</v>
      </c>
      <c r="R74" s="289">
        <f t="shared" si="60"/>
        <v>7.0400663600224984</v>
      </c>
      <c r="S74" s="289">
        <f t="shared" si="60"/>
        <v>6.3183521781843845</v>
      </c>
      <c r="T74" s="289">
        <f t="shared" ref="T74:U74" si="61">-T20</f>
        <v>7.0400663600224984</v>
      </c>
      <c r="U74" s="289">
        <f t="shared" si="61"/>
        <v>7.0400663600224984</v>
      </c>
      <c r="V74" s="289">
        <f t="shared" ref="V74:W74" si="62">-V20</f>
        <v>6.3183521781843845</v>
      </c>
      <c r="W74" s="289">
        <f t="shared" si="62"/>
        <v>6.3183521781843845</v>
      </c>
      <c r="X74" s="289">
        <f t="shared" ref="X74:Y74" si="63">-X20</f>
        <v>3.4601529888602931</v>
      </c>
      <c r="Y74" s="289">
        <f t="shared" si="63"/>
        <v>3.4601529888602931</v>
      </c>
      <c r="Z74" s="272"/>
      <c r="AA74" s="272"/>
      <c r="AB74" s="272"/>
      <c r="AC74" s="272"/>
      <c r="AD74" s="272"/>
      <c r="AE74" s="272"/>
      <c r="AF74" s="272"/>
      <c r="AG74" s="272"/>
      <c r="AH74" s="272"/>
      <c r="AI74" s="272"/>
      <c r="AJ74" s="272"/>
      <c r="AK74" s="272"/>
      <c r="AL74" s="272"/>
      <c r="AM74" s="272"/>
      <c r="AN74" s="272"/>
      <c r="AO74" s="272"/>
      <c r="AP74" s="272"/>
      <c r="AQ74" s="272"/>
      <c r="AR74" s="272"/>
      <c r="AS74" s="272"/>
      <c r="AT74" s="272"/>
      <c r="AU74" s="272"/>
      <c r="AV74" s="272"/>
      <c r="AW74" s="272"/>
      <c r="AX74" s="272"/>
      <c r="AY74" s="272"/>
      <c r="AZ74" s="272"/>
      <c r="BA74" s="272"/>
      <c r="BB74" s="272"/>
      <c r="BC74" s="272"/>
      <c r="BD74" s="272"/>
      <c r="BE74" s="272"/>
      <c r="BF74" s="272"/>
      <c r="BG74" s="272"/>
    </row>
    <row r="75" spans="3:59" x14ac:dyDescent="0.25">
      <c r="C75" s="88"/>
      <c r="F75" t="s">
        <v>753</v>
      </c>
      <c r="G75" t="s">
        <v>269</v>
      </c>
      <c r="H75" s="272"/>
      <c r="I75" s="272"/>
      <c r="J75" s="290">
        <f t="shared" ref="J75:K75" si="64">-J21</f>
        <v>-1.5208162021666733</v>
      </c>
      <c r="K75" s="290">
        <f t="shared" si="64"/>
        <v>-1.5208162021666733</v>
      </c>
      <c r="L75" s="290">
        <f t="shared" ref="L75:M75" si="65">-L21</f>
        <v>-1.5881799522534263</v>
      </c>
      <c r="M75" s="290">
        <f t="shared" si="65"/>
        <v>-1.5881799522534263</v>
      </c>
      <c r="N75" s="290">
        <f t="shared" ref="N75:P75" si="66">-N21</f>
        <v>-1.1885514481269401</v>
      </c>
      <c r="O75" s="290">
        <f t="shared" si="66"/>
        <v>-0.58481610826012864</v>
      </c>
      <c r="P75" s="290">
        <f t="shared" si="66"/>
        <v>-0.39560382977467057</v>
      </c>
      <c r="Q75" s="290">
        <f t="shared" ref="Q75:S75" si="67">-Q21</f>
        <v>-3.7741727713773781</v>
      </c>
      <c r="R75" s="290">
        <f t="shared" si="67"/>
        <v>1.0902490437542633</v>
      </c>
      <c r="S75" s="290">
        <f t="shared" si="67"/>
        <v>0.97545424417849347</v>
      </c>
      <c r="T75" s="290">
        <f t="shared" ref="T75:U75" si="68">-T21</f>
        <v>1.0902490437542633</v>
      </c>
      <c r="U75" s="290">
        <f t="shared" si="68"/>
        <v>1.0902490437542633</v>
      </c>
      <c r="V75" s="290">
        <f t="shared" ref="V75:W75" si="69">-V21</f>
        <v>0.97545424417849347</v>
      </c>
      <c r="W75" s="290">
        <f t="shared" si="69"/>
        <v>0.97545424417849347</v>
      </c>
      <c r="X75" s="290">
        <f t="shared" ref="X75:Y75" si="70">-X21</f>
        <v>0.51650220466529395</v>
      </c>
      <c r="Y75" s="290">
        <f t="shared" si="70"/>
        <v>0.51650220466529395</v>
      </c>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72"/>
      <c r="AV75" s="272"/>
      <c r="AW75" s="272"/>
      <c r="AX75" s="272"/>
      <c r="AY75" s="272"/>
      <c r="AZ75" s="272"/>
      <c r="BA75" s="272"/>
      <c r="BB75" s="272"/>
      <c r="BC75" s="272"/>
      <c r="BD75" s="272"/>
      <c r="BE75" s="272"/>
      <c r="BF75" s="272"/>
      <c r="BG75" s="272"/>
    </row>
    <row r="76" spans="3:59" x14ac:dyDescent="0.25">
      <c r="C76" s="88"/>
      <c r="F76" s="37" t="s">
        <v>754</v>
      </c>
      <c r="G76" s="37" t="s">
        <v>269</v>
      </c>
      <c r="H76" s="276"/>
      <c r="I76" s="276"/>
      <c r="J76" s="292">
        <f t="shared" ref="J76:K76" si="71">-J22</f>
        <v>-0.69838914936034457</v>
      </c>
      <c r="K76" s="292">
        <f t="shared" si="71"/>
        <v>-0.69838914936034457</v>
      </c>
      <c r="L76" s="292">
        <f t="shared" ref="L76:M76" si="72">-L22</f>
        <v>-0.72932392770751431</v>
      </c>
      <c r="M76" s="292">
        <f t="shared" si="72"/>
        <v>-0.72932392770751431</v>
      </c>
      <c r="N76" s="292">
        <f t="shared" ref="N76:P76" si="73">-N22</f>
        <v>-0.54326912302024566</v>
      </c>
      <c r="O76" s="292">
        <f t="shared" si="73"/>
        <v>-0.2620730222910021</v>
      </c>
      <c r="P76" s="292">
        <f t="shared" si="73"/>
        <v>-0.1730603787833048</v>
      </c>
      <c r="Q76" s="292">
        <f t="shared" ref="Q76:S76" si="74">-Q22</f>
        <v>-2.7644213867021152</v>
      </c>
      <c r="R76" s="292">
        <f t="shared" si="74"/>
        <v>0.5006641178425727</v>
      </c>
      <c r="S76" s="292">
        <f t="shared" si="74"/>
        <v>0.44704928923359355</v>
      </c>
      <c r="T76" s="292">
        <f t="shared" ref="T76:U76" si="75">-T22</f>
        <v>0.5006641178425727</v>
      </c>
      <c r="U76" s="292">
        <f t="shared" si="75"/>
        <v>0.5006641178425727</v>
      </c>
      <c r="V76" s="292">
        <f t="shared" ref="V76:W76" si="76">-V22</f>
        <v>0.44704928923359355</v>
      </c>
      <c r="W76" s="292">
        <f t="shared" si="76"/>
        <v>0.44704928923359355</v>
      </c>
      <c r="X76" s="292">
        <f t="shared" ref="X76:Y76" si="77">-X22</f>
        <v>0.23144428706139836</v>
      </c>
      <c r="Y76" s="292">
        <f t="shared" si="77"/>
        <v>0.23144428706139836</v>
      </c>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72"/>
      <c r="AV76" s="272"/>
      <c r="AW76" s="272"/>
      <c r="AX76" s="272"/>
      <c r="AY76" s="272"/>
      <c r="AZ76" s="272"/>
      <c r="BA76" s="272"/>
      <c r="BB76" s="272"/>
      <c r="BC76" s="272"/>
      <c r="BD76" s="272"/>
      <c r="BE76" s="272"/>
      <c r="BF76" s="272"/>
      <c r="BG76" s="272"/>
    </row>
    <row r="77" spans="3:59" x14ac:dyDescent="0.25">
      <c r="C77" s="88"/>
      <c r="F77" s="2"/>
      <c r="J77" s="89"/>
      <c r="K77" s="89"/>
      <c r="L77" s="89"/>
      <c r="M77" s="89"/>
      <c r="N77" s="89"/>
      <c r="O77" s="89"/>
      <c r="P77" s="89"/>
      <c r="Q77" s="89"/>
      <c r="R77" s="89"/>
      <c r="S77" s="89"/>
      <c r="T77" s="89"/>
      <c r="U77" s="89"/>
      <c r="V77" s="89"/>
      <c r="W77" s="89"/>
      <c r="X77" s="89"/>
      <c r="Y77" s="89"/>
    </row>
    <row r="78" spans="3:59" x14ac:dyDescent="0.25">
      <c r="E78" s="32" t="s">
        <v>755</v>
      </c>
      <c r="H78" s="210"/>
      <c r="I78" s="210"/>
      <c r="J78" s="89"/>
      <c r="K78" s="89"/>
      <c r="L78" s="89"/>
      <c r="M78" s="89"/>
      <c r="N78" s="89"/>
      <c r="O78" s="89"/>
      <c r="P78" s="89"/>
      <c r="Q78" s="89"/>
      <c r="R78" s="89"/>
      <c r="S78" s="89"/>
      <c r="T78" s="89"/>
      <c r="U78" s="89"/>
      <c r="V78" s="89"/>
      <c r="W78" s="89"/>
      <c r="X78" s="89"/>
      <c r="Y78" s="89"/>
    </row>
    <row r="79" spans="3:59" x14ac:dyDescent="0.25">
      <c r="E79" s="29" t="s">
        <v>756</v>
      </c>
      <c r="H79" s="210"/>
      <c r="I79" s="210"/>
      <c r="J79" s="89"/>
      <c r="K79" s="89"/>
      <c r="L79" s="89"/>
      <c r="M79" s="89"/>
      <c r="N79" s="89"/>
      <c r="O79" s="89"/>
      <c r="P79" s="89"/>
      <c r="Q79" s="89"/>
      <c r="R79" s="89"/>
      <c r="S79" s="89"/>
      <c r="T79" s="89"/>
      <c r="U79" s="89"/>
      <c r="V79" s="89"/>
      <c r="W79" s="89"/>
      <c r="X79" s="89"/>
      <c r="Y79" s="89"/>
    </row>
    <row r="80" spans="3:59" x14ac:dyDescent="0.25">
      <c r="D80"/>
      <c r="E80" s="29" t="s">
        <v>757</v>
      </c>
      <c r="H80" s="210"/>
      <c r="I80" s="210"/>
      <c r="J80" s="89"/>
      <c r="K80" s="89"/>
      <c r="L80" s="89"/>
      <c r="M80" s="89"/>
      <c r="N80" s="89"/>
      <c r="O80" s="89"/>
      <c r="P80" s="89"/>
      <c r="Q80" s="89"/>
      <c r="R80" s="89"/>
      <c r="S80" s="89"/>
      <c r="T80" s="89"/>
      <c r="U80" s="89"/>
      <c r="V80" s="89"/>
      <c r="W80" s="89"/>
      <c r="X80" s="89"/>
      <c r="Y80" s="89"/>
    </row>
    <row r="81" spans="3:59" x14ac:dyDescent="0.25">
      <c r="D81"/>
      <c r="E81" s="29" t="s">
        <v>758</v>
      </c>
      <c r="H81" s="210"/>
      <c r="I81" s="210"/>
      <c r="J81" s="89"/>
      <c r="K81" s="89"/>
      <c r="L81" s="89"/>
      <c r="M81" s="89"/>
      <c r="N81" s="89"/>
      <c r="O81" s="89"/>
      <c r="P81" s="89"/>
      <c r="Q81" s="89"/>
      <c r="R81" s="89"/>
      <c r="S81" s="89"/>
      <c r="T81" s="89"/>
      <c r="U81" s="89"/>
      <c r="V81" s="89"/>
      <c r="W81" s="89"/>
      <c r="X81" s="89"/>
      <c r="Y81" s="89"/>
    </row>
    <row r="82" spans="3:59" x14ac:dyDescent="0.25">
      <c r="F82" s="23" t="s">
        <v>759</v>
      </c>
      <c r="G82" s="23" t="s">
        <v>207</v>
      </c>
      <c r="H82" s="23"/>
      <c r="I82" s="23"/>
      <c r="J82" s="126">
        <f t="shared" ref="J82:K82" si="78">J29</f>
        <v>311831.94582317385</v>
      </c>
      <c r="K82" s="126">
        <f t="shared" si="78"/>
        <v>8828.0434583187307</v>
      </c>
      <c r="L82" s="126">
        <f t="shared" ref="L82:M82" si="79">L29</f>
        <v>102378.72879148643</v>
      </c>
      <c r="M82" s="126">
        <f t="shared" si="79"/>
        <v>3073.5191857693171</v>
      </c>
      <c r="N82" s="126">
        <f t="shared" ref="N82:P82" si="80">N29</f>
        <v>139806.98097606294</v>
      </c>
      <c r="O82" s="126">
        <f t="shared" si="80"/>
        <v>11206.437648372332</v>
      </c>
      <c r="P82" s="126">
        <f t="shared" si="80"/>
        <v>74694.355628841644</v>
      </c>
      <c r="Q82" s="126">
        <f t="shared" ref="Q82" si="81">Q29</f>
        <v>4349.8619861455727</v>
      </c>
      <c r="R82" s="83"/>
      <c r="S82" s="83"/>
      <c r="T82" s="83"/>
      <c r="U82" s="83"/>
      <c r="V82" s="83"/>
      <c r="W82" s="83"/>
      <c r="X82" s="83"/>
      <c r="Y82" s="83"/>
    </row>
    <row r="83" spans="3:59" x14ac:dyDescent="0.25">
      <c r="C83" s="88"/>
      <c r="F83" t="s">
        <v>760</v>
      </c>
      <c r="G83" t="s">
        <v>207</v>
      </c>
      <c r="J83" s="98">
        <f t="shared" ref="J83:K83" si="82">J30</f>
        <v>1222053.7587079387</v>
      </c>
      <c r="K83" s="98">
        <f t="shared" si="82"/>
        <v>150887.96998237175</v>
      </c>
      <c r="L83" s="98">
        <f t="shared" ref="L83:M83" si="83">L30</f>
        <v>545261.70609176275</v>
      </c>
      <c r="M83" s="98">
        <f t="shared" si="83"/>
        <v>14352.322991058796</v>
      </c>
      <c r="N83" s="98">
        <f t="shared" ref="N83:P83" si="84">N30</f>
        <v>740397.98107946641</v>
      </c>
      <c r="O83" s="98">
        <f t="shared" si="84"/>
        <v>58043.544338799831</v>
      </c>
      <c r="P83" s="98">
        <f t="shared" si="84"/>
        <v>375984.60290363373</v>
      </c>
      <c r="Q83" s="98">
        <f t="shared" ref="Q83" si="85">Q30</f>
        <v>30463.510485625775</v>
      </c>
      <c r="R83" s="79"/>
      <c r="S83" s="79"/>
      <c r="T83" s="79"/>
      <c r="U83" s="79"/>
      <c r="V83" s="79"/>
      <c r="W83" s="79"/>
      <c r="X83" s="79"/>
      <c r="Y83" s="79"/>
    </row>
    <row r="84" spans="3:59" x14ac:dyDescent="0.25">
      <c r="C84" s="88"/>
      <c r="F84" s="37" t="s">
        <v>761</v>
      </c>
      <c r="G84" s="37" t="s">
        <v>207</v>
      </c>
      <c r="H84" s="37"/>
      <c r="I84" s="37"/>
      <c r="J84" s="100">
        <f t="shared" ref="J84:K84" si="86">J31</f>
        <v>1077177.8887757412</v>
      </c>
      <c r="K84" s="100">
        <f t="shared" si="86"/>
        <v>223429.42078208068</v>
      </c>
      <c r="L84" s="100">
        <f t="shared" ref="L84:M84" si="87">L31</f>
        <v>367147.65331594134</v>
      </c>
      <c r="M84" s="100">
        <f t="shared" si="87"/>
        <v>17378.187088510807</v>
      </c>
      <c r="N84" s="100">
        <f t="shared" ref="N84:P84" si="88">N31</f>
        <v>555413.37242437864</v>
      </c>
      <c r="O84" s="100">
        <f t="shared" si="88"/>
        <v>54070.107464039262</v>
      </c>
      <c r="P84" s="100">
        <f t="shared" si="88"/>
        <v>347717.92720260756</v>
      </c>
      <c r="Q84" s="100">
        <f t="shared" ref="Q84" si="89">Q31</f>
        <v>58641.778056120806</v>
      </c>
      <c r="R84" s="81"/>
      <c r="S84" s="81"/>
      <c r="T84" s="81"/>
      <c r="U84" s="81"/>
      <c r="V84" s="81"/>
      <c r="W84" s="81"/>
      <c r="X84" s="81"/>
      <c r="Y84" s="81"/>
    </row>
    <row r="85" spans="3:59" x14ac:dyDescent="0.25">
      <c r="C85" s="88"/>
      <c r="F85" s="2"/>
    </row>
    <row r="86" spans="3:59" x14ac:dyDescent="0.25">
      <c r="E86" s="32" t="s">
        <v>762</v>
      </c>
      <c r="H86" s="210"/>
      <c r="I86" s="210" t="s">
        <v>154</v>
      </c>
      <c r="BG86" t="s">
        <v>763</v>
      </c>
    </row>
    <row r="87" spans="3:59" x14ac:dyDescent="0.25">
      <c r="E87" s="29" t="s">
        <v>764</v>
      </c>
      <c r="H87" s="210"/>
      <c r="I87" s="210"/>
    </row>
    <row r="88" spans="3:59" x14ac:dyDescent="0.25">
      <c r="D88"/>
      <c r="E88" s="29" t="s">
        <v>765</v>
      </c>
      <c r="H88" s="210"/>
      <c r="I88" s="210"/>
    </row>
    <row r="89" spans="3:59" x14ac:dyDescent="0.25">
      <c r="D89"/>
      <c r="E89" s="29" t="s">
        <v>766</v>
      </c>
      <c r="H89" s="210"/>
      <c r="I89" s="210"/>
    </row>
    <row r="90" spans="3:59" x14ac:dyDescent="0.25">
      <c r="E90" s="88"/>
      <c r="F90" t="s">
        <v>767</v>
      </c>
      <c r="G90" t="s">
        <v>269</v>
      </c>
      <c r="H90" s="290">
        <f>H60/SUM(J82:Y84)/ten</f>
        <v>1.34496167367201</v>
      </c>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2"/>
      <c r="BA90" s="272"/>
      <c r="BB90" s="272"/>
      <c r="BC90" s="272"/>
      <c r="BD90" s="272"/>
      <c r="BE90" s="272"/>
      <c r="BF90" s="272"/>
      <c r="BG90" s="272"/>
    </row>
    <row r="91" spans="3:59" x14ac:dyDescent="0.25">
      <c r="D91" s="88"/>
    </row>
    <row r="92" spans="3:59" x14ac:dyDescent="0.25">
      <c r="C92" s="31" t="str">
        <f ca="1">INDEX('Version control'!$H$34:$H$57,MATCH($A$1,'Version control'!$F$34:$F$57,0),1)&amp;"-D: Algorithm to find constrained adder solution"</f>
        <v>Section 115-D: Algorithm to find constrained adder solution</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row>
    <row r="93" spans="3:59" x14ac:dyDescent="0.25">
      <c r="D93" s="88"/>
    </row>
    <row r="94" spans="3:59" x14ac:dyDescent="0.25">
      <c r="D94" s="29" t="s">
        <v>768</v>
      </c>
      <c r="E94"/>
      <c r="I94" t="s">
        <v>154</v>
      </c>
      <c r="BG94" t="s">
        <v>763</v>
      </c>
    </row>
    <row r="95" spans="3:59" x14ac:dyDescent="0.25">
      <c r="D95" s="29" t="s">
        <v>769</v>
      </c>
      <c r="E95"/>
    </row>
    <row r="96" spans="3:59" x14ac:dyDescent="0.25">
      <c r="D96" s="29" t="s">
        <v>770</v>
      </c>
      <c r="E96"/>
    </row>
    <row r="97" spans="3:59" outlineLevel="1" x14ac:dyDescent="0.25"/>
    <row r="98" spans="3:59" outlineLevel="1" x14ac:dyDescent="0.25">
      <c r="D98" s="32" t="s">
        <v>771</v>
      </c>
      <c r="E98"/>
      <c r="H98" s="210"/>
      <c r="I98" s="210"/>
    </row>
    <row r="99" spans="3:59" outlineLevel="1" x14ac:dyDescent="0.25">
      <c r="D99" s="32" t="s">
        <v>772</v>
      </c>
      <c r="E99"/>
      <c r="H99" s="210"/>
      <c r="I99" s="210"/>
    </row>
    <row r="100" spans="3:59" outlineLevel="1" x14ac:dyDescent="0.25">
      <c r="D100" s="32"/>
      <c r="E100"/>
      <c r="H100" s="210"/>
      <c r="I100" s="210"/>
    </row>
    <row r="101" spans="3:59" ht="75" outlineLevel="1" x14ac:dyDescent="0.25">
      <c r="D101"/>
      <c r="E101" s="211" t="s">
        <v>773</v>
      </c>
      <c r="F101" s="211"/>
      <c r="G101" s="211"/>
      <c r="H101" s="212"/>
      <c r="I101" s="211"/>
      <c r="J101" s="61" t="s">
        <v>956</v>
      </c>
      <c r="K101" s="61" t="s">
        <v>957</v>
      </c>
      <c r="L101" s="61" t="s">
        <v>958</v>
      </c>
      <c r="M101" s="61" t="s">
        <v>959</v>
      </c>
      <c r="N101" s="61" t="s">
        <v>960</v>
      </c>
      <c r="O101" s="61" t="s">
        <v>961</v>
      </c>
      <c r="P101" s="61" t="s">
        <v>962</v>
      </c>
      <c r="Q101" s="61" t="s">
        <v>963</v>
      </c>
      <c r="R101" s="61" t="s">
        <v>964</v>
      </c>
      <c r="S101" s="61" t="s">
        <v>965</v>
      </c>
      <c r="T101" s="61" t="s">
        <v>966</v>
      </c>
      <c r="U101" s="61" t="s">
        <v>967</v>
      </c>
      <c r="V101" s="61" t="s">
        <v>968</v>
      </c>
      <c r="W101" s="61" t="s">
        <v>969</v>
      </c>
      <c r="X101" s="61" t="s">
        <v>970</v>
      </c>
      <c r="Y101" s="61" t="s">
        <v>971</v>
      </c>
      <c r="Z101" s="61" t="s">
        <v>972</v>
      </c>
      <c r="AA101" s="61" t="s">
        <v>973</v>
      </c>
      <c r="AB101" s="61" t="s">
        <v>974</v>
      </c>
      <c r="AC101" s="61" t="s">
        <v>975</v>
      </c>
      <c r="AD101" s="61" t="s">
        <v>976</v>
      </c>
      <c r="AE101" s="61" t="s">
        <v>977</v>
      </c>
      <c r="AF101" s="61" t="s">
        <v>978</v>
      </c>
      <c r="AG101" s="61" t="s">
        <v>979</v>
      </c>
      <c r="AH101" s="61" t="s">
        <v>980</v>
      </c>
      <c r="AI101" s="61" t="s">
        <v>981</v>
      </c>
      <c r="AJ101" s="61" t="s">
        <v>982</v>
      </c>
      <c r="AK101" s="61" t="s">
        <v>983</v>
      </c>
      <c r="AL101" s="61" t="s">
        <v>984</v>
      </c>
      <c r="AM101" s="61" t="s">
        <v>985</v>
      </c>
      <c r="AN101" s="61" t="s">
        <v>986</v>
      </c>
      <c r="AO101" s="61" t="s">
        <v>987</v>
      </c>
      <c r="AP101" s="61" t="s">
        <v>988</v>
      </c>
      <c r="AQ101" s="61" t="s">
        <v>989</v>
      </c>
      <c r="AR101" s="61" t="s">
        <v>990</v>
      </c>
      <c r="AS101" s="61" t="s">
        <v>991</v>
      </c>
      <c r="AT101" s="61" t="s">
        <v>992</v>
      </c>
      <c r="AU101" s="61" t="s">
        <v>993</v>
      </c>
      <c r="AV101" s="61" t="s">
        <v>994</v>
      </c>
      <c r="AW101" s="61" t="s">
        <v>995</v>
      </c>
      <c r="AX101" s="61" t="s">
        <v>996</v>
      </c>
      <c r="AY101" s="61" t="s">
        <v>997</v>
      </c>
      <c r="AZ101" s="61" t="s">
        <v>998</v>
      </c>
      <c r="BA101" s="61" t="s">
        <v>999</v>
      </c>
      <c r="BB101" s="61" t="s">
        <v>1000</v>
      </c>
      <c r="BC101" s="61" t="s">
        <v>1001</v>
      </c>
      <c r="BD101" s="61" t="s">
        <v>1002</v>
      </c>
      <c r="BE101" s="61" t="s">
        <v>1003</v>
      </c>
    </row>
    <row r="102" spans="3:59" outlineLevel="1" x14ac:dyDescent="0.25">
      <c r="C102" s="88"/>
      <c r="E102" t="s">
        <v>820</v>
      </c>
      <c r="G102" t="s">
        <v>269</v>
      </c>
      <c r="H102" s="272"/>
      <c r="I102" s="272"/>
      <c r="J102" s="272">
        <f t="shared" ref="J102:K102" si="90">J74</f>
        <v>-9.8203681498151312</v>
      </c>
      <c r="K102" s="272">
        <f t="shared" si="90"/>
        <v>-9.8203681498151312</v>
      </c>
      <c r="L102" s="272">
        <f t="shared" ref="L102:M102" si="91">L74</f>
        <v>-10.255356168000093</v>
      </c>
      <c r="M102" s="272">
        <f t="shared" si="91"/>
        <v>-10.255356168000093</v>
      </c>
      <c r="N102" s="272">
        <f t="shared" ref="N102:P102" si="92">N74</f>
        <v>-7.7300298317786229</v>
      </c>
      <c r="O102" s="272">
        <f t="shared" si="92"/>
        <v>-3.917424895049189</v>
      </c>
      <c r="P102" s="272">
        <f t="shared" si="92"/>
        <v>-2.7417958672948952</v>
      </c>
      <c r="Q102" s="272">
        <f t="shared" ref="Q102:S102" si="93">Q74</f>
        <v>-22.016762373135332</v>
      </c>
      <c r="R102" s="272">
        <f t="shared" si="93"/>
        <v>7.0400663600224984</v>
      </c>
      <c r="S102" s="272">
        <f t="shared" si="93"/>
        <v>6.3183521781843845</v>
      </c>
      <c r="T102" s="272">
        <f t="shared" ref="T102:U102" si="94">T74</f>
        <v>7.0400663600224984</v>
      </c>
      <c r="U102" s="272">
        <f t="shared" si="94"/>
        <v>7.0400663600224984</v>
      </c>
      <c r="V102" s="272">
        <f t="shared" ref="V102:W102" si="95">V74</f>
        <v>6.3183521781843845</v>
      </c>
      <c r="W102" s="272">
        <f t="shared" si="95"/>
        <v>6.3183521781843845</v>
      </c>
      <c r="X102" s="272">
        <f t="shared" ref="X102:Y102" si="96">X74</f>
        <v>3.4601529888602931</v>
      </c>
      <c r="Y102" s="293">
        <f t="shared" si="96"/>
        <v>3.4601529888602931</v>
      </c>
      <c r="Z102" s="272">
        <f>J75</f>
        <v>-1.5208162021666733</v>
      </c>
      <c r="AA102" s="272">
        <f t="shared" ref="AA102:AO102" si="97">K75</f>
        <v>-1.5208162021666733</v>
      </c>
      <c r="AB102" s="272">
        <f t="shared" si="97"/>
        <v>-1.5881799522534263</v>
      </c>
      <c r="AC102" s="272">
        <f t="shared" si="97"/>
        <v>-1.5881799522534263</v>
      </c>
      <c r="AD102" s="272">
        <f t="shared" si="97"/>
        <v>-1.1885514481269401</v>
      </c>
      <c r="AE102" s="272">
        <f t="shared" si="97"/>
        <v>-0.58481610826012864</v>
      </c>
      <c r="AF102" s="272">
        <f t="shared" si="97"/>
        <v>-0.39560382977467057</v>
      </c>
      <c r="AG102" s="272">
        <f t="shared" si="97"/>
        <v>-3.7741727713773781</v>
      </c>
      <c r="AH102" s="272">
        <f t="shared" si="97"/>
        <v>1.0902490437542633</v>
      </c>
      <c r="AI102" s="272">
        <f t="shared" si="97"/>
        <v>0.97545424417849347</v>
      </c>
      <c r="AJ102" s="272">
        <f t="shared" si="97"/>
        <v>1.0902490437542633</v>
      </c>
      <c r="AK102" s="272">
        <f t="shared" si="97"/>
        <v>1.0902490437542633</v>
      </c>
      <c r="AL102" s="272">
        <f t="shared" si="97"/>
        <v>0.97545424417849347</v>
      </c>
      <c r="AM102" s="272">
        <f t="shared" si="97"/>
        <v>0.97545424417849347</v>
      </c>
      <c r="AN102" s="272">
        <f t="shared" si="97"/>
        <v>0.51650220466529395</v>
      </c>
      <c r="AO102" s="293">
        <f t="shared" si="97"/>
        <v>0.51650220466529395</v>
      </c>
      <c r="AP102" s="272">
        <f>J76</f>
        <v>-0.69838914936034457</v>
      </c>
      <c r="AQ102" s="272">
        <f t="shared" ref="AQ102:BE102" si="98">K76</f>
        <v>-0.69838914936034457</v>
      </c>
      <c r="AR102" s="272">
        <f t="shared" si="98"/>
        <v>-0.72932392770751431</v>
      </c>
      <c r="AS102" s="272">
        <f t="shared" si="98"/>
        <v>-0.72932392770751431</v>
      </c>
      <c r="AT102" s="272">
        <f t="shared" si="98"/>
        <v>-0.54326912302024566</v>
      </c>
      <c r="AU102" s="272">
        <f t="shared" si="98"/>
        <v>-0.2620730222910021</v>
      </c>
      <c r="AV102" s="272">
        <f t="shared" si="98"/>
        <v>-0.1730603787833048</v>
      </c>
      <c r="AW102" s="272">
        <f t="shared" si="98"/>
        <v>-2.7644213867021152</v>
      </c>
      <c r="AX102" s="272">
        <f t="shared" si="98"/>
        <v>0.5006641178425727</v>
      </c>
      <c r="AY102" s="272">
        <f t="shared" si="98"/>
        <v>0.44704928923359355</v>
      </c>
      <c r="AZ102" s="272">
        <f t="shared" si="98"/>
        <v>0.5006641178425727</v>
      </c>
      <c r="BA102" s="272">
        <f t="shared" si="98"/>
        <v>0.5006641178425727</v>
      </c>
      <c r="BB102" s="272">
        <f t="shared" si="98"/>
        <v>0.44704928923359355</v>
      </c>
      <c r="BC102" s="272">
        <f t="shared" si="98"/>
        <v>0.44704928923359355</v>
      </c>
      <c r="BD102" s="272">
        <f t="shared" si="98"/>
        <v>0.23144428706139836</v>
      </c>
      <c r="BE102" s="272">
        <f t="shared" si="98"/>
        <v>0.23144428706139836</v>
      </c>
      <c r="BF102" s="272"/>
      <c r="BG102" s="272"/>
    </row>
    <row r="103" spans="3:59" outlineLevel="1" x14ac:dyDescent="0.25">
      <c r="C103" s="88"/>
      <c r="E103" t="s">
        <v>821</v>
      </c>
      <c r="G103" t="s">
        <v>207</v>
      </c>
      <c r="J103" s="98">
        <f t="shared" ref="J103:K103" si="99">J82</f>
        <v>311831.94582317385</v>
      </c>
      <c r="K103" s="98">
        <f t="shared" si="99"/>
        <v>8828.0434583187307</v>
      </c>
      <c r="L103" s="98">
        <f t="shared" ref="L103:M103" si="100">L82</f>
        <v>102378.72879148643</v>
      </c>
      <c r="M103" s="98">
        <f t="shared" si="100"/>
        <v>3073.5191857693171</v>
      </c>
      <c r="N103" s="98">
        <f t="shared" ref="N103:P103" si="101">N82</f>
        <v>139806.98097606294</v>
      </c>
      <c r="O103" s="98">
        <f t="shared" si="101"/>
        <v>11206.437648372332</v>
      </c>
      <c r="P103" s="98">
        <f t="shared" si="101"/>
        <v>74694.355628841644</v>
      </c>
      <c r="Q103" s="98">
        <f t="shared" ref="Q103:S103" si="102">Q82</f>
        <v>4349.8619861455727</v>
      </c>
      <c r="R103" s="98">
        <f t="shared" si="102"/>
        <v>0</v>
      </c>
      <c r="S103" s="98">
        <f t="shared" si="102"/>
        <v>0</v>
      </c>
      <c r="T103" s="98">
        <f t="shared" ref="T103:U103" si="103">T82</f>
        <v>0</v>
      </c>
      <c r="U103" s="98">
        <f t="shared" si="103"/>
        <v>0</v>
      </c>
      <c r="V103" s="98">
        <f t="shared" ref="V103:W103" si="104">V82</f>
        <v>0</v>
      </c>
      <c r="W103" s="98">
        <f t="shared" si="104"/>
        <v>0</v>
      </c>
      <c r="X103" s="98">
        <f t="shared" ref="X103:Y103" si="105">X82</f>
        <v>0</v>
      </c>
      <c r="Y103" s="213">
        <f t="shared" si="105"/>
        <v>0</v>
      </c>
      <c r="Z103" s="98">
        <f>J83</f>
        <v>1222053.7587079387</v>
      </c>
      <c r="AA103" s="98">
        <f t="shared" ref="AA103:AO103" si="106">K83</f>
        <v>150887.96998237175</v>
      </c>
      <c r="AB103" s="98">
        <f t="shared" si="106"/>
        <v>545261.70609176275</v>
      </c>
      <c r="AC103" s="98">
        <f t="shared" si="106"/>
        <v>14352.322991058796</v>
      </c>
      <c r="AD103" s="98">
        <f t="shared" si="106"/>
        <v>740397.98107946641</v>
      </c>
      <c r="AE103" s="98">
        <f t="shared" si="106"/>
        <v>58043.544338799831</v>
      </c>
      <c r="AF103" s="98">
        <f t="shared" si="106"/>
        <v>375984.60290363373</v>
      </c>
      <c r="AG103" s="98">
        <f t="shared" si="106"/>
        <v>30463.510485625775</v>
      </c>
      <c r="AH103" s="98">
        <f t="shared" si="106"/>
        <v>0</v>
      </c>
      <c r="AI103" s="98">
        <f t="shared" si="106"/>
        <v>0</v>
      </c>
      <c r="AJ103" s="98">
        <f t="shared" si="106"/>
        <v>0</v>
      </c>
      <c r="AK103" s="98">
        <f t="shared" si="106"/>
        <v>0</v>
      </c>
      <c r="AL103" s="98">
        <f t="shared" si="106"/>
        <v>0</v>
      </c>
      <c r="AM103" s="98">
        <f t="shared" si="106"/>
        <v>0</v>
      </c>
      <c r="AN103" s="98">
        <f t="shared" si="106"/>
        <v>0</v>
      </c>
      <c r="AO103" s="213">
        <f t="shared" si="106"/>
        <v>0</v>
      </c>
      <c r="AP103" s="98">
        <f>J84</f>
        <v>1077177.8887757412</v>
      </c>
      <c r="AQ103" s="98">
        <f t="shared" ref="AQ103:BE103" si="107">K84</f>
        <v>223429.42078208068</v>
      </c>
      <c r="AR103" s="98">
        <f t="shared" si="107"/>
        <v>367147.65331594134</v>
      </c>
      <c r="AS103" s="98">
        <f t="shared" si="107"/>
        <v>17378.187088510807</v>
      </c>
      <c r="AT103" s="98">
        <f t="shared" si="107"/>
        <v>555413.37242437864</v>
      </c>
      <c r="AU103" s="98">
        <f t="shared" si="107"/>
        <v>54070.107464039262</v>
      </c>
      <c r="AV103" s="98">
        <f t="shared" si="107"/>
        <v>347717.92720260756</v>
      </c>
      <c r="AW103" s="98">
        <f t="shared" si="107"/>
        <v>58641.778056120806</v>
      </c>
      <c r="AX103" s="98">
        <f t="shared" si="107"/>
        <v>0</v>
      </c>
      <c r="AY103" s="98">
        <f t="shared" si="107"/>
        <v>0</v>
      </c>
      <c r="AZ103" s="98">
        <f t="shared" si="107"/>
        <v>0</v>
      </c>
      <c r="BA103" s="98">
        <f t="shared" si="107"/>
        <v>0</v>
      </c>
      <c r="BB103" s="98">
        <f t="shared" si="107"/>
        <v>0</v>
      </c>
      <c r="BC103" s="98">
        <f t="shared" si="107"/>
        <v>0</v>
      </c>
      <c r="BD103" s="98">
        <f t="shared" si="107"/>
        <v>0</v>
      </c>
      <c r="BE103" s="98">
        <f t="shared" si="107"/>
        <v>0</v>
      </c>
    </row>
    <row r="104" spans="3:59" outlineLevel="1" x14ac:dyDescent="0.25">
      <c r="D104" s="29"/>
      <c r="E104" s="29"/>
      <c r="H104" s="210"/>
      <c r="I104" s="210"/>
    </row>
    <row r="105" spans="3:59" outlineLevel="1" x14ac:dyDescent="0.25">
      <c r="D105" s="32" t="s">
        <v>822</v>
      </c>
      <c r="E105"/>
      <c r="H105" s="210"/>
      <c r="I105" s="210"/>
    </row>
    <row r="106" spans="3:59" outlineLevel="1" x14ac:dyDescent="0.25">
      <c r="D106" s="32" t="s">
        <v>823</v>
      </c>
      <c r="E106"/>
      <c r="H106" s="210"/>
      <c r="I106" s="210"/>
    </row>
    <row r="107" spans="3:59" outlineLevel="1" x14ac:dyDescent="0.25">
      <c r="D107" s="32"/>
      <c r="E107"/>
      <c r="H107" s="210"/>
      <c r="I107" s="210"/>
    </row>
    <row r="108" spans="3:59" ht="75" outlineLevel="1" x14ac:dyDescent="0.25">
      <c r="D108"/>
      <c r="E108" s="211" t="s">
        <v>773</v>
      </c>
      <c r="F108" s="211"/>
      <c r="G108" s="211"/>
      <c r="H108" s="211"/>
      <c r="I108" s="211"/>
      <c r="J108" s="61" t="s">
        <v>774</v>
      </c>
      <c r="K108" s="61" t="s">
        <v>775</v>
      </c>
      <c r="L108" s="61" t="s">
        <v>774</v>
      </c>
      <c r="M108" s="61" t="s">
        <v>775</v>
      </c>
      <c r="N108" s="61" t="s">
        <v>776</v>
      </c>
      <c r="O108" s="61" t="s">
        <v>777</v>
      </c>
      <c r="P108" s="61" t="s">
        <v>778</v>
      </c>
      <c r="Q108" s="61" t="s">
        <v>779</v>
      </c>
      <c r="R108" s="61" t="s">
        <v>780</v>
      </c>
      <c r="S108" s="61" t="s">
        <v>781</v>
      </c>
      <c r="T108" s="61" t="s">
        <v>782</v>
      </c>
      <c r="U108" s="61" t="s">
        <v>783</v>
      </c>
      <c r="V108" s="61" t="s">
        <v>784</v>
      </c>
      <c r="W108" s="61" t="s">
        <v>785</v>
      </c>
      <c r="X108" s="61" t="s">
        <v>786</v>
      </c>
      <c r="Y108" s="61" t="s">
        <v>787</v>
      </c>
      <c r="Z108" s="61" t="s">
        <v>788</v>
      </c>
      <c r="AA108" s="61" t="s">
        <v>789</v>
      </c>
      <c r="AB108" s="61" t="s">
        <v>790</v>
      </c>
      <c r="AC108" s="61" t="s">
        <v>791</v>
      </c>
      <c r="AD108" s="61" t="s">
        <v>792</v>
      </c>
      <c r="AE108" s="61" t="s">
        <v>793</v>
      </c>
      <c r="AF108" s="61" t="s">
        <v>794</v>
      </c>
      <c r="AG108" s="61" t="s">
        <v>795</v>
      </c>
      <c r="AH108" s="61" t="s">
        <v>796</v>
      </c>
      <c r="AI108" s="61" t="s">
        <v>797</v>
      </c>
      <c r="AJ108" s="61" t="s">
        <v>798</v>
      </c>
      <c r="AK108" s="61" t="s">
        <v>799</v>
      </c>
      <c r="AL108" s="61" t="s">
        <v>800</v>
      </c>
      <c r="AM108" s="61" t="s">
        <v>801</v>
      </c>
      <c r="AN108" s="61" t="s">
        <v>802</v>
      </c>
      <c r="AO108" s="61" t="s">
        <v>803</v>
      </c>
      <c r="AP108" s="61" t="s">
        <v>804</v>
      </c>
      <c r="AQ108" s="61" t="s">
        <v>805</v>
      </c>
      <c r="AR108" s="61" t="s">
        <v>806</v>
      </c>
      <c r="AS108" s="61" t="s">
        <v>807</v>
      </c>
      <c r="AT108" s="61" t="s">
        <v>808</v>
      </c>
      <c r="AU108" s="61" t="s">
        <v>809</v>
      </c>
      <c r="AV108" s="61" t="s">
        <v>810</v>
      </c>
      <c r="AW108" s="61" t="s">
        <v>811</v>
      </c>
      <c r="AX108" s="61" t="s">
        <v>812</v>
      </c>
      <c r="AY108" s="61" t="s">
        <v>813</v>
      </c>
      <c r="AZ108" s="61" t="s">
        <v>814</v>
      </c>
      <c r="BA108" s="61" t="s">
        <v>815</v>
      </c>
      <c r="BB108" s="61" t="s">
        <v>816</v>
      </c>
      <c r="BC108" s="61" t="s">
        <v>817</v>
      </c>
      <c r="BD108" s="61" t="s">
        <v>818</v>
      </c>
      <c r="BE108" s="61" t="s">
        <v>819</v>
      </c>
    </row>
    <row r="109" spans="3:59" outlineLevel="1" x14ac:dyDescent="0.25">
      <c r="C109" s="88"/>
      <c r="E109" t="s">
        <v>824</v>
      </c>
      <c r="G109" t="s">
        <v>571</v>
      </c>
      <c r="J109" s="89">
        <f t="shared" ref="J109:BE109" si="108">RANK(J102, $J$102:$BE$102, 1)</f>
        <v>4</v>
      </c>
      <c r="K109" s="89">
        <f t="shared" si="108"/>
        <v>4</v>
      </c>
      <c r="L109" s="89">
        <f t="shared" si="108"/>
        <v>2</v>
      </c>
      <c r="M109" s="89">
        <f t="shared" si="108"/>
        <v>2</v>
      </c>
      <c r="N109" s="89">
        <f t="shared" si="108"/>
        <v>6</v>
      </c>
      <c r="O109" s="89">
        <f t="shared" si="108"/>
        <v>7</v>
      </c>
      <c r="P109" s="89">
        <f t="shared" si="108"/>
        <v>10</v>
      </c>
      <c r="Q109" s="89">
        <f t="shared" si="108"/>
        <v>1</v>
      </c>
      <c r="R109" s="89">
        <f t="shared" si="108"/>
        <v>46</v>
      </c>
      <c r="S109" s="89">
        <f t="shared" si="108"/>
        <v>43</v>
      </c>
      <c r="T109" s="89">
        <f t="shared" si="108"/>
        <v>46</v>
      </c>
      <c r="U109" s="89">
        <f t="shared" si="108"/>
        <v>46</v>
      </c>
      <c r="V109" s="89">
        <f t="shared" si="108"/>
        <v>43</v>
      </c>
      <c r="W109" s="89">
        <f t="shared" si="108"/>
        <v>43</v>
      </c>
      <c r="X109" s="89">
        <f t="shared" si="108"/>
        <v>41</v>
      </c>
      <c r="Y109" s="89">
        <f t="shared" si="108"/>
        <v>41</v>
      </c>
      <c r="Z109" s="89">
        <f t="shared" si="108"/>
        <v>13</v>
      </c>
      <c r="AA109" s="89">
        <f t="shared" si="108"/>
        <v>13</v>
      </c>
      <c r="AB109" s="89">
        <f t="shared" si="108"/>
        <v>11</v>
      </c>
      <c r="AC109" s="89">
        <f t="shared" si="108"/>
        <v>11</v>
      </c>
      <c r="AD109" s="89">
        <f t="shared" si="108"/>
        <v>15</v>
      </c>
      <c r="AE109" s="89">
        <f t="shared" si="108"/>
        <v>20</v>
      </c>
      <c r="AF109" s="89">
        <f t="shared" si="108"/>
        <v>22</v>
      </c>
      <c r="AG109" s="89">
        <f t="shared" si="108"/>
        <v>8</v>
      </c>
      <c r="AH109" s="89">
        <f t="shared" si="108"/>
        <v>38</v>
      </c>
      <c r="AI109" s="89">
        <f t="shared" si="108"/>
        <v>35</v>
      </c>
      <c r="AJ109" s="89">
        <f t="shared" si="108"/>
        <v>38</v>
      </c>
      <c r="AK109" s="89">
        <f t="shared" si="108"/>
        <v>38</v>
      </c>
      <c r="AL109" s="89">
        <f t="shared" si="108"/>
        <v>35</v>
      </c>
      <c r="AM109" s="89">
        <f t="shared" si="108"/>
        <v>35</v>
      </c>
      <c r="AN109" s="89">
        <f t="shared" si="108"/>
        <v>33</v>
      </c>
      <c r="AO109" s="89">
        <f t="shared" si="108"/>
        <v>33</v>
      </c>
      <c r="AP109" s="89">
        <f t="shared" si="108"/>
        <v>18</v>
      </c>
      <c r="AQ109" s="89">
        <f t="shared" si="108"/>
        <v>18</v>
      </c>
      <c r="AR109" s="89">
        <f t="shared" si="108"/>
        <v>16</v>
      </c>
      <c r="AS109" s="89">
        <f t="shared" si="108"/>
        <v>16</v>
      </c>
      <c r="AT109" s="89">
        <f t="shared" si="108"/>
        <v>21</v>
      </c>
      <c r="AU109" s="89">
        <f t="shared" si="108"/>
        <v>23</v>
      </c>
      <c r="AV109" s="89">
        <f t="shared" si="108"/>
        <v>24</v>
      </c>
      <c r="AW109" s="89">
        <f t="shared" si="108"/>
        <v>9</v>
      </c>
      <c r="AX109" s="89">
        <f t="shared" si="108"/>
        <v>30</v>
      </c>
      <c r="AY109" s="89">
        <f t="shared" si="108"/>
        <v>27</v>
      </c>
      <c r="AZ109" s="89">
        <f t="shared" si="108"/>
        <v>30</v>
      </c>
      <c r="BA109" s="89">
        <f t="shared" si="108"/>
        <v>30</v>
      </c>
      <c r="BB109" s="89">
        <f t="shared" si="108"/>
        <v>27</v>
      </c>
      <c r="BC109" s="89">
        <f t="shared" si="108"/>
        <v>27</v>
      </c>
      <c r="BD109" s="89">
        <f t="shared" si="108"/>
        <v>25</v>
      </c>
      <c r="BE109" s="89">
        <f t="shared" si="108"/>
        <v>25</v>
      </c>
    </row>
    <row r="110" spans="3:59" outlineLevel="1" x14ac:dyDescent="0.25">
      <c r="C110" s="88"/>
      <c r="E110" t="s">
        <v>825</v>
      </c>
      <c r="G110" t="s">
        <v>571</v>
      </c>
      <c r="J110" s="98">
        <f>J109 + (COUNT($J$109:J$109) / COUNT($J$109:$BE$109))</f>
        <v>4.020833333333333</v>
      </c>
      <c r="K110" s="98">
        <f>K109 + (COUNT($J$109:K$109) / COUNT($J$109:$BE$109))</f>
        <v>4.041666666666667</v>
      </c>
      <c r="L110" s="98">
        <f>L109 + (COUNT($J$109:L$109) / COUNT($J$109:$BE$109))</f>
        <v>2.0625</v>
      </c>
      <c r="M110" s="98">
        <f>M109 + (COUNT($J$109:M$109) / COUNT($J$109:$BE$109))</f>
        <v>2.0833333333333335</v>
      </c>
      <c r="N110" s="98">
        <f>N109 + (COUNT($J$109:N$109) / COUNT($J$109:$BE$109))</f>
        <v>6.104166666666667</v>
      </c>
      <c r="O110" s="98">
        <f>O109 + (COUNT($J$109:O$109) / COUNT($J$109:$BE$109))</f>
        <v>7.125</v>
      </c>
      <c r="P110" s="98">
        <f>P109 + (COUNT($J$109:P$109) / COUNT($J$109:$BE$109))</f>
        <v>10.145833333333334</v>
      </c>
      <c r="Q110" s="98">
        <f>Q109 + (COUNT($J$109:Q$109) / COUNT($J$109:$BE$109))</f>
        <v>1.1666666666666667</v>
      </c>
      <c r="R110" s="98">
        <f>R109 + (COUNT($J$109:R$109) / COUNT($J$109:$BE$109))</f>
        <v>46.1875</v>
      </c>
      <c r="S110" s="98">
        <f>S109 + (COUNT($J$109:S$109) / COUNT($J$109:$BE$109))</f>
        <v>43.208333333333336</v>
      </c>
      <c r="T110" s="98">
        <f>T109 + (COUNT($J$109:T$109) / COUNT($J$109:$BE$109))</f>
        <v>46.229166666666664</v>
      </c>
      <c r="U110" s="98">
        <f>U109 + (COUNT($J$109:U$109) / COUNT($J$109:$BE$109))</f>
        <v>46.25</v>
      </c>
      <c r="V110" s="98">
        <f>V109 + (COUNT($J$109:V$109) / COUNT($J$109:$BE$109))</f>
        <v>43.270833333333336</v>
      </c>
      <c r="W110" s="98">
        <f>W109 + (COUNT($J$109:W$109) / COUNT($J$109:$BE$109))</f>
        <v>43.291666666666664</v>
      </c>
      <c r="X110" s="98">
        <f>X109 + (COUNT($J$109:X$109) / COUNT($J$109:$BE$109))</f>
        <v>41.3125</v>
      </c>
      <c r="Y110" s="98">
        <f>Y109 + (COUNT($J$109:Y$109) / COUNT($J$109:$BE$109))</f>
        <v>41.333333333333336</v>
      </c>
      <c r="Z110" s="98">
        <f>Z109 + (COUNT($J$109:Z$109) / COUNT($J$109:$BE$109))</f>
        <v>13.354166666666666</v>
      </c>
      <c r="AA110" s="98">
        <f>AA109 + (COUNT($J$109:AA$109) / COUNT($J$109:$BE$109))</f>
        <v>13.375</v>
      </c>
      <c r="AB110" s="98">
        <f>AB109 + (COUNT($J$109:AB$109) / COUNT($J$109:$BE$109))</f>
        <v>11.395833333333334</v>
      </c>
      <c r="AC110" s="98">
        <f>AC109 + (COUNT($J$109:AC$109) / COUNT($J$109:$BE$109))</f>
        <v>11.416666666666666</v>
      </c>
      <c r="AD110" s="98">
        <f>AD109 + (COUNT($J$109:AD$109) / COUNT($J$109:$BE$109))</f>
        <v>15.4375</v>
      </c>
      <c r="AE110" s="98">
        <f>AE109 + (COUNT($J$109:AE$109) / COUNT($J$109:$BE$109))</f>
        <v>20.458333333333332</v>
      </c>
      <c r="AF110" s="98">
        <f>AF109 + (COUNT($J$109:AF$109) / COUNT($J$109:$BE$109))</f>
        <v>22.479166666666668</v>
      </c>
      <c r="AG110" s="98">
        <f>AG109 + (COUNT($J$109:AG$109) / COUNT($J$109:$BE$109))</f>
        <v>8.5</v>
      </c>
      <c r="AH110" s="98">
        <f>AH109 + (COUNT($J$109:AH$109) / COUNT($J$109:$BE$109))</f>
        <v>38.520833333333336</v>
      </c>
      <c r="AI110" s="98">
        <f>AI109 + (COUNT($J$109:AI$109) / COUNT($J$109:$BE$109))</f>
        <v>35.541666666666664</v>
      </c>
      <c r="AJ110" s="98">
        <f>AJ109 + (COUNT($J$109:AJ$109) / COUNT($J$109:$BE$109))</f>
        <v>38.5625</v>
      </c>
      <c r="AK110" s="98">
        <f>AK109 + (COUNT($J$109:AK$109) / COUNT($J$109:$BE$109))</f>
        <v>38.583333333333336</v>
      </c>
      <c r="AL110" s="98">
        <f>AL109 + (COUNT($J$109:AL$109) / COUNT($J$109:$BE$109))</f>
        <v>35.604166666666664</v>
      </c>
      <c r="AM110" s="98">
        <f>AM109 + (COUNT($J$109:AM$109) / COUNT($J$109:$BE$109))</f>
        <v>35.625</v>
      </c>
      <c r="AN110" s="98">
        <f>AN109 + (COUNT($J$109:AN$109) / COUNT($J$109:$BE$109))</f>
        <v>33.645833333333336</v>
      </c>
      <c r="AO110" s="98">
        <f>AO109 + (COUNT($J$109:AO$109) / COUNT($J$109:$BE$109))</f>
        <v>33.666666666666664</v>
      </c>
      <c r="AP110" s="98">
        <f>AP109 + (COUNT($J$109:AP$109) / COUNT($J$109:$BE$109))</f>
        <v>18.6875</v>
      </c>
      <c r="AQ110" s="98">
        <f>AQ109 + (COUNT($J$109:AQ$109) / COUNT($J$109:$BE$109))</f>
        <v>18.708333333333332</v>
      </c>
      <c r="AR110" s="98">
        <f>AR109 + (COUNT($J$109:AR$109) / COUNT($J$109:$BE$109))</f>
        <v>16.729166666666668</v>
      </c>
      <c r="AS110" s="98">
        <f>AS109 + (COUNT($J$109:AS$109) / COUNT($J$109:$BE$109))</f>
        <v>16.75</v>
      </c>
      <c r="AT110" s="98">
        <f>AT109 + (COUNT($J$109:AT$109) / COUNT($J$109:$BE$109))</f>
        <v>21.770833333333332</v>
      </c>
      <c r="AU110" s="98">
        <f>AU109 + (COUNT($J$109:AU$109) / COUNT($J$109:$BE$109))</f>
        <v>23.791666666666668</v>
      </c>
      <c r="AV110" s="98">
        <f>AV109 + (COUNT($J$109:AV$109) / COUNT($J$109:$BE$109))</f>
        <v>24.8125</v>
      </c>
      <c r="AW110" s="98">
        <f>AW109 + (COUNT($J$109:AW$109) / COUNT($J$109:$BE$109))</f>
        <v>9.8333333333333339</v>
      </c>
      <c r="AX110" s="98">
        <f>AX109 + (COUNT($J$109:AX$109) / COUNT($J$109:$BE$109))</f>
        <v>30.854166666666668</v>
      </c>
      <c r="AY110" s="98">
        <f>AY109 + (COUNT($J$109:AY$109) / COUNT($J$109:$BE$109))</f>
        <v>27.875</v>
      </c>
      <c r="AZ110" s="98">
        <f>AZ109 + (COUNT($J$109:AZ$109) / COUNT($J$109:$BE$109))</f>
        <v>30.895833333333332</v>
      </c>
      <c r="BA110" s="98">
        <f>BA109 + (COUNT($J$109:BA$109) / COUNT($J$109:$BE$109))</f>
        <v>30.916666666666668</v>
      </c>
      <c r="BB110" s="98">
        <f>BB109 + (COUNT($J$109:BB$109) / COUNT($J$109:$BE$109))</f>
        <v>27.9375</v>
      </c>
      <c r="BC110" s="98">
        <f>BC109 + (COUNT($J$109:BC$109) / COUNT($J$109:$BE$109))</f>
        <v>27.958333333333332</v>
      </c>
      <c r="BD110" s="98">
        <f>BD109 + (COUNT($J$109:BD$109) / COUNT($J$109:$BE$109))</f>
        <v>25.979166666666668</v>
      </c>
      <c r="BE110" s="98">
        <f>BE109 + (COUNT($J$109:BE$109) / COUNT($J$109:$BE$109))</f>
        <v>26</v>
      </c>
    </row>
    <row r="111" spans="3:59" outlineLevel="1" x14ac:dyDescent="0.25">
      <c r="C111" s="88"/>
      <c r="E111" t="s">
        <v>826</v>
      </c>
      <c r="G111" t="s">
        <v>571</v>
      </c>
      <c r="J111" s="89">
        <f t="shared" ref="J111:BE111" si="109">RANK(J110, $J$110:$BE$110, 1)</f>
        <v>4</v>
      </c>
      <c r="K111" s="89">
        <f t="shared" si="109"/>
        <v>5</v>
      </c>
      <c r="L111" s="89">
        <f t="shared" si="109"/>
        <v>2</v>
      </c>
      <c r="M111" s="89">
        <f t="shared" si="109"/>
        <v>3</v>
      </c>
      <c r="N111" s="89">
        <f t="shared" si="109"/>
        <v>6</v>
      </c>
      <c r="O111" s="89">
        <f t="shared" si="109"/>
        <v>7</v>
      </c>
      <c r="P111" s="89">
        <f t="shared" si="109"/>
        <v>10</v>
      </c>
      <c r="Q111" s="89">
        <f t="shared" si="109"/>
        <v>1</v>
      </c>
      <c r="R111" s="89">
        <f t="shared" si="109"/>
        <v>46</v>
      </c>
      <c r="S111" s="89">
        <f t="shared" si="109"/>
        <v>43</v>
      </c>
      <c r="T111" s="89">
        <f t="shared" si="109"/>
        <v>47</v>
      </c>
      <c r="U111" s="89">
        <f t="shared" si="109"/>
        <v>48</v>
      </c>
      <c r="V111" s="89">
        <f t="shared" si="109"/>
        <v>44</v>
      </c>
      <c r="W111" s="89">
        <f t="shared" si="109"/>
        <v>45</v>
      </c>
      <c r="X111" s="89">
        <f t="shared" si="109"/>
        <v>41</v>
      </c>
      <c r="Y111" s="89">
        <f t="shared" si="109"/>
        <v>42</v>
      </c>
      <c r="Z111" s="89">
        <f t="shared" si="109"/>
        <v>13</v>
      </c>
      <c r="AA111" s="89">
        <f t="shared" si="109"/>
        <v>14</v>
      </c>
      <c r="AB111" s="89">
        <f t="shared" si="109"/>
        <v>11</v>
      </c>
      <c r="AC111" s="89">
        <f t="shared" si="109"/>
        <v>12</v>
      </c>
      <c r="AD111" s="89">
        <f t="shared" si="109"/>
        <v>15</v>
      </c>
      <c r="AE111" s="89">
        <f t="shared" si="109"/>
        <v>20</v>
      </c>
      <c r="AF111" s="89">
        <f t="shared" si="109"/>
        <v>22</v>
      </c>
      <c r="AG111" s="89">
        <f t="shared" si="109"/>
        <v>8</v>
      </c>
      <c r="AH111" s="89">
        <f t="shared" si="109"/>
        <v>38</v>
      </c>
      <c r="AI111" s="89">
        <f t="shared" si="109"/>
        <v>35</v>
      </c>
      <c r="AJ111" s="89">
        <f t="shared" si="109"/>
        <v>39</v>
      </c>
      <c r="AK111" s="89">
        <f t="shared" si="109"/>
        <v>40</v>
      </c>
      <c r="AL111" s="89">
        <f t="shared" si="109"/>
        <v>36</v>
      </c>
      <c r="AM111" s="89">
        <f t="shared" si="109"/>
        <v>37</v>
      </c>
      <c r="AN111" s="89">
        <f t="shared" si="109"/>
        <v>33</v>
      </c>
      <c r="AO111" s="89">
        <f t="shared" si="109"/>
        <v>34</v>
      </c>
      <c r="AP111" s="89">
        <f t="shared" si="109"/>
        <v>18</v>
      </c>
      <c r="AQ111" s="89">
        <f t="shared" si="109"/>
        <v>19</v>
      </c>
      <c r="AR111" s="89">
        <f t="shared" si="109"/>
        <v>16</v>
      </c>
      <c r="AS111" s="89">
        <f t="shared" si="109"/>
        <v>17</v>
      </c>
      <c r="AT111" s="89">
        <f t="shared" si="109"/>
        <v>21</v>
      </c>
      <c r="AU111" s="89">
        <f t="shared" si="109"/>
        <v>23</v>
      </c>
      <c r="AV111" s="89">
        <f t="shared" si="109"/>
        <v>24</v>
      </c>
      <c r="AW111" s="89">
        <f t="shared" si="109"/>
        <v>9</v>
      </c>
      <c r="AX111" s="89">
        <f t="shared" si="109"/>
        <v>30</v>
      </c>
      <c r="AY111" s="89">
        <f t="shared" si="109"/>
        <v>27</v>
      </c>
      <c r="AZ111" s="89">
        <f t="shared" si="109"/>
        <v>31</v>
      </c>
      <c r="BA111" s="89">
        <f t="shared" si="109"/>
        <v>32</v>
      </c>
      <c r="BB111" s="89">
        <f t="shared" si="109"/>
        <v>28</v>
      </c>
      <c r="BC111" s="89">
        <f t="shared" si="109"/>
        <v>29</v>
      </c>
      <c r="BD111" s="89">
        <f t="shared" si="109"/>
        <v>25</v>
      </c>
      <c r="BE111" s="89">
        <f t="shared" si="109"/>
        <v>26</v>
      </c>
    </row>
    <row r="112" spans="3:59" outlineLevel="1" x14ac:dyDescent="0.25">
      <c r="D112" s="29"/>
      <c r="E112" s="29"/>
      <c r="H112" s="210"/>
      <c r="I112" s="210"/>
    </row>
    <row r="113" spans="3:59" outlineLevel="1" x14ac:dyDescent="0.25">
      <c r="D113" s="32" t="s">
        <v>827</v>
      </c>
      <c r="E113"/>
      <c r="H113" s="210"/>
      <c r="I113" s="210"/>
    </row>
    <row r="114" spans="3:59" outlineLevel="1" x14ac:dyDescent="0.25">
      <c r="D114" s="32" t="s">
        <v>828</v>
      </c>
      <c r="E114"/>
      <c r="H114" s="210"/>
      <c r="I114" s="210"/>
    </row>
    <row r="115" spans="3:59" outlineLevel="1" x14ac:dyDescent="0.25">
      <c r="D115" s="32"/>
      <c r="E115"/>
      <c r="H115" s="210"/>
      <c r="I115" s="210"/>
    </row>
    <row r="116" spans="3:59" outlineLevel="1" x14ac:dyDescent="0.25">
      <c r="D116"/>
      <c r="E116" s="211" t="s">
        <v>829</v>
      </c>
      <c r="F116" s="211"/>
      <c r="G116" s="211"/>
      <c r="H116" s="211" t="s">
        <v>830</v>
      </c>
      <c r="I116" s="211"/>
      <c r="J116" s="214">
        <v>1</v>
      </c>
      <c r="K116" s="214">
        <f>J116 + 1</f>
        <v>2</v>
      </c>
      <c r="L116" s="214">
        <f t="shared" ref="L116:BE116" si="110">K116 + 1</f>
        <v>3</v>
      </c>
      <c r="M116" s="214">
        <f t="shared" si="110"/>
        <v>4</v>
      </c>
      <c r="N116" s="214">
        <f t="shared" si="110"/>
        <v>5</v>
      </c>
      <c r="O116" s="214">
        <f t="shared" si="110"/>
        <v>6</v>
      </c>
      <c r="P116" s="214">
        <f t="shared" si="110"/>
        <v>7</v>
      </c>
      <c r="Q116" s="214">
        <f t="shared" si="110"/>
        <v>8</v>
      </c>
      <c r="R116" s="214">
        <f t="shared" si="110"/>
        <v>9</v>
      </c>
      <c r="S116" s="214">
        <f t="shared" si="110"/>
        <v>10</v>
      </c>
      <c r="T116" s="214">
        <f t="shared" si="110"/>
        <v>11</v>
      </c>
      <c r="U116" s="214">
        <f t="shared" si="110"/>
        <v>12</v>
      </c>
      <c r="V116" s="214">
        <f t="shared" si="110"/>
        <v>13</v>
      </c>
      <c r="W116" s="214">
        <f t="shared" si="110"/>
        <v>14</v>
      </c>
      <c r="X116" s="214">
        <f t="shared" si="110"/>
        <v>15</v>
      </c>
      <c r="Y116" s="214">
        <f t="shared" si="110"/>
        <v>16</v>
      </c>
      <c r="Z116" s="214">
        <f t="shared" si="110"/>
        <v>17</v>
      </c>
      <c r="AA116" s="214">
        <f t="shared" si="110"/>
        <v>18</v>
      </c>
      <c r="AB116" s="214">
        <f t="shared" si="110"/>
        <v>19</v>
      </c>
      <c r="AC116" s="214">
        <f t="shared" si="110"/>
        <v>20</v>
      </c>
      <c r="AD116" s="214">
        <f t="shared" si="110"/>
        <v>21</v>
      </c>
      <c r="AE116" s="214">
        <f t="shared" si="110"/>
        <v>22</v>
      </c>
      <c r="AF116" s="214">
        <f t="shared" si="110"/>
        <v>23</v>
      </c>
      <c r="AG116" s="214">
        <f t="shared" si="110"/>
        <v>24</v>
      </c>
      <c r="AH116" s="214">
        <f t="shared" si="110"/>
        <v>25</v>
      </c>
      <c r="AI116" s="214">
        <f t="shared" si="110"/>
        <v>26</v>
      </c>
      <c r="AJ116" s="214">
        <f t="shared" si="110"/>
        <v>27</v>
      </c>
      <c r="AK116" s="214">
        <f t="shared" si="110"/>
        <v>28</v>
      </c>
      <c r="AL116" s="214">
        <f t="shared" si="110"/>
        <v>29</v>
      </c>
      <c r="AM116" s="214">
        <f t="shared" si="110"/>
        <v>30</v>
      </c>
      <c r="AN116" s="214">
        <f t="shared" si="110"/>
        <v>31</v>
      </c>
      <c r="AO116" s="214">
        <f t="shared" si="110"/>
        <v>32</v>
      </c>
      <c r="AP116" s="214">
        <f t="shared" si="110"/>
        <v>33</v>
      </c>
      <c r="AQ116" s="214">
        <f t="shared" si="110"/>
        <v>34</v>
      </c>
      <c r="AR116" s="214">
        <f t="shared" si="110"/>
        <v>35</v>
      </c>
      <c r="AS116" s="214">
        <f t="shared" si="110"/>
        <v>36</v>
      </c>
      <c r="AT116" s="214">
        <f t="shared" si="110"/>
        <v>37</v>
      </c>
      <c r="AU116" s="214">
        <f t="shared" si="110"/>
        <v>38</v>
      </c>
      <c r="AV116" s="214">
        <f t="shared" si="110"/>
        <v>39</v>
      </c>
      <c r="AW116" s="214">
        <f t="shared" si="110"/>
        <v>40</v>
      </c>
      <c r="AX116" s="214">
        <f t="shared" si="110"/>
        <v>41</v>
      </c>
      <c r="AY116" s="214">
        <f t="shared" si="110"/>
        <v>42</v>
      </c>
      <c r="AZ116" s="214">
        <f t="shared" si="110"/>
        <v>43</v>
      </c>
      <c r="BA116" s="214">
        <f t="shared" si="110"/>
        <v>44</v>
      </c>
      <c r="BB116" s="214">
        <f t="shared" si="110"/>
        <v>45</v>
      </c>
      <c r="BC116" s="214">
        <f t="shared" si="110"/>
        <v>46</v>
      </c>
      <c r="BD116" s="214">
        <f t="shared" si="110"/>
        <v>47</v>
      </c>
      <c r="BE116" s="214">
        <f t="shared" si="110"/>
        <v>48</v>
      </c>
    </row>
    <row r="117" spans="3:59" outlineLevel="1" x14ac:dyDescent="0.25">
      <c r="C117" s="88"/>
      <c r="E117" t="s">
        <v>831</v>
      </c>
      <c r="G117" t="s">
        <v>269</v>
      </c>
      <c r="H117" s="290"/>
      <c r="I117" s="272"/>
      <c r="J117" s="290">
        <f>INDEX($J$102:$BE$102, 1, MATCH(J116, $J$111:$BE$111, 0))</f>
        <v>-22.016762373135332</v>
      </c>
      <c r="K117" s="290">
        <f t="shared" ref="K117:BE117" si="111">INDEX($J$102:$BE$102, 1, MATCH(K116, $J$111:$BE$111, 0))</f>
        <v>-10.255356168000093</v>
      </c>
      <c r="L117" s="290">
        <f t="shared" si="111"/>
        <v>-10.255356168000093</v>
      </c>
      <c r="M117" s="290">
        <f t="shared" si="111"/>
        <v>-9.8203681498151312</v>
      </c>
      <c r="N117" s="290">
        <f t="shared" si="111"/>
        <v>-9.8203681498151312</v>
      </c>
      <c r="O117" s="290">
        <f t="shared" si="111"/>
        <v>-7.7300298317786229</v>
      </c>
      <c r="P117" s="290">
        <f t="shared" si="111"/>
        <v>-3.917424895049189</v>
      </c>
      <c r="Q117" s="290">
        <f t="shared" si="111"/>
        <v>-3.7741727713773781</v>
      </c>
      <c r="R117" s="290">
        <f t="shared" si="111"/>
        <v>-2.7644213867021152</v>
      </c>
      <c r="S117" s="290">
        <f t="shared" si="111"/>
        <v>-2.7417958672948952</v>
      </c>
      <c r="T117" s="290">
        <f t="shared" si="111"/>
        <v>-1.5881799522534263</v>
      </c>
      <c r="U117" s="290">
        <f t="shared" si="111"/>
        <v>-1.5881799522534263</v>
      </c>
      <c r="V117" s="290">
        <f t="shared" si="111"/>
        <v>-1.5208162021666733</v>
      </c>
      <c r="W117" s="290">
        <f t="shared" si="111"/>
        <v>-1.5208162021666733</v>
      </c>
      <c r="X117" s="290">
        <f t="shared" si="111"/>
        <v>-1.1885514481269401</v>
      </c>
      <c r="Y117" s="290">
        <f t="shared" si="111"/>
        <v>-0.72932392770751431</v>
      </c>
      <c r="Z117" s="290">
        <f t="shared" si="111"/>
        <v>-0.72932392770751431</v>
      </c>
      <c r="AA117" s="290">
        <f t="shared" si="111"/>
        <v>-0.69838914936034457</v>
      </c>
      <c r="AB117" s="290">
        <f t="shared" si="111"/>
        <v>-0.69838914936034457</v>
      </c>
      <c r="AC117" s="290">
        <f t="shared" si="111"/>
        <v>-0.58481610826012864</v>
      </c>
      <c r="AD117" s="290">
        <f t="shared" si="111"/>
        <v>-0.54326912302024566</v>
      </c>
      <c r="AE117" s="290">
        <f t="shared" si="111"/>
        <v>-0.39560382977467057</v>
      </c>
      <c r="AF117" s="290">
        <f t="shared" si="111"/>
        <v>-0.2620730222910021</v>
      </c>
      <c r="AG117" s="290">
        <f t="shared" si="111"/>
        <v>-0.1730603787833048</v>
      </c>
      <c r="AH117" s="290">
        <f t="shared" si="111"/>
        <v>0.23144428706139836</v>
      </c>
      <c r="AI117" s="290">
        <f t="shared" si="111"/>
        <v>0.23144428706139836</v>
      </c>
      <c r="AJ117" s="290">
        <f t="shared" si="111"/>
        <v>0.44704928923359355</v>
      </c>
      <c r="AK117" s="290">
        <f t="shared" si="111"/>
        <v>0.44704928923359355</v>
      </c>
      <c r="AL117" s="290">
        <f t="shared" si="111"/>
        <v>0.44704928923359355</v>
      </c>
      <c r="AM117" s="290">
        <f t="shared" si="111"/>
        <v>0.5006641178425727</v>
      </c>
      <c r="AN117" s="290">
        <f t="shared" si="111"/>
        <v>0.5006641178425727</v>
      </c>
      <c r="AO117" s="290">
        <f t="shared" si="111"/>
        <v>0.5006641178425727</v>
      </c>
      <c r="AP117" s="290">
        <f t="shared" si="111"/>
        <v>0.51650220466529395</v>
      </c>
      <c r="AQ117" s="290">
        <f t="shared" si="111"/>
        <v>0.51650220466529395</v>
      </c>
      <c r="AR117" s="290">
        <f t="shared" si="111"/>
        <v>0.97545424417849347</v>
      </c>
      <c r="AS117" s="290">
        <f t="shared" si="111"/>
        <v>0.97545424417849347</v>
      </c>
      <c r="AT117" s="290">
        <f t="shared" si="111"/>
        <v>0.97545424417849347</v>
      </c>
      <c r="AU117" s="290">
        <f t="shared" si="111"/>
        <v>1.0902490437542633</v>
      </c>
      <c r="AV117" s="290">
        <f t="shared" si="111"/>
        <v>1.0902490437542633</v>
      </c>
      <c r="AW117" s="290">
        <f t="shared" si="111"/>
        <v>1.0902490437542633</v>
      </c>
      <c r="AX117" s="290">
        <f t="shared" si="111"/>
        <v>3.4601529888602931</v>
      </c>
      <c r="AY117" s="290">
        <f t="shared" si="111"/>
        <v>3.4601529888602931</v>
      </c>
      <c r="AZ117" s="290">
        <f t="shared" si="111"/>
        <v>6.3183521781843845</v>
      </c>
      <c r="BA117" s="290">
        <f t="shared" si="111"/>
        <v>6.3183521781843845</v>
      </c>
      <c r="BB117" s="290">
        <f t="shared" si="111"/>
        <v>6.3183521781843845</v>
      </c>
      <c r="BC117" s="290">
        <f t="shared" si="111"/>
        <v>7.0400663600224984</v>
      </c>
      <c r="BD117" s="290">
        <f t="shared" si="111"/>
        <v>7.0400663600224984</v>
      </c>
      <c r="BE117" s="290">
        <f t="shared" si="111"/>
        <v>7.0400663600224984</v>
      </c>
      <c r="BF117" s="272"/>
      <c r="BG117" s="272"/>
    </row>
    <row r="118" spans="3:59" outlineLevel="1" x14ac:dyDescent="0.25">
      <c r="C118" s="88"/>
      <c r="E118" t="s">
        <v>832</v>
      </c>
      <c r="G118" t="s">
        <v>207</v>
      </c>
      <c r="H118" s="63"/>
      <c r="J118" s="98">
        <f t="shared" ref="J118:BE118" si="112">I118 + INDEX($J$103:$BE$103, 1, MATCH(J116, $J$111:$BE$111, 0))</f>
        <v>4349.8619861455727</v>
      </c>
      <c r="K118" s="98">
        <f t="shared" si="112"/>
        <v>106728.59077763199</v>
      </c>
      <c r="L118" s="98">
        <f t="shared" si="112"/>
        <v>109802.10996340131</v>
      </c>
      <c r="M118" s="98">
        <f t="shared" si="112"/>
        <v>421634.05578657519</v>
      </c>
      <c r="N118" s="98">
        <f t="shared" si="112"/>
        <v>430462.09924489394</v>
      </c>
      <c r="O118" s="98">
        <f t="shared" si="112"/>
        <v>570269.08022095682</v>
      </c>
      <c r="P118" s="98">
        <f t="shared" si="112"/>
        <v>581475.5178693292</v>
      </c>
      <c r="Q118" s="98">
        <f t="shared" si="112"/>
        <v>611939.02835495502</v>
      </c>
      <c r="R118" s="98">
        <f t="shared" si="112"/>
        <v>670580.80641107587</v>
      </c>
      <c r="S118" s="98">
        <f t="shared" si="112"/>
        <v>745275.16203991754</v>
      </c>
      <c r="T118" s="98">
        <f t="shared" si="112"/>
        <v>1290536.8681316804</v>
      </c>
      <c r="U118" s="98">
        <f t="shared" si="112"/>
        <v>1304889.1911227391</v>
      </c>
      <c r="V118" s="98">
        <f t="shared" si="112"/>
        <v>2526942.9498306778</v>
      </c>
      <c r="W118" s="98">
        <f t="shared" si="112"/>
        <v>2677830.9198130495</v>
      </c>
      <c r="X118" s="98">
        <f t="shared" si="112"/>
        <v>3418228.9008925157</v>
      </c>
      <c r="Y118" s="98">
        <f t="shared" si="112"/>
        <v>3785376.554208457</v>
      </c>
      <c r="Z118" s="98">
        <f t="shared" si="112"/>
        <v>3802754.741296968</v>
      </c>
      <c r="AA118" s="98">
        <f t="shared" si="112"/>
        <v>4879932.6300727092</v>
      </c>
      <c r="AB118" s="98">
        <f t="shared" si="112"/>
        <v>5103362.05085479</v>
      </c>
      <c r="AC118" s="98">
        <f t="shared" si="112"/>
        <v>5161405.59519359</v>
      </c>
      <c r="AD118" s="98">
        <f t="shared" si="112"/>
        <v>5716818.967617969</v>
      </c>
      <c r="AE118" s="98">
        <f t="shared" si="112"/>
        <v>6092803.5705216024</v>
      </c>
      <c r="AF118" s="98">
        <f t="shared" si="112"/>
        <v>6146873.6779856421</v>
      </c>
      <c r="AG118" s="98">
        <f t="shared" si="112"/>
        <v>6494591.6051882496</v>
      </c>
      <c r="AH118" s="98">
        <f t="shared" si="112"/>
        <v>6494591.6051882496</v>
      </c>
      <c r="AI118" s="98">
        <f t="shared" si="112"/>
        <v>6494591.6051882496</v>
      </c>
      <c r="AJ118" s="98">
        <f t="shared" si="112"/>
        <v>6494591.6051882496</v>
      </c>
      <c r="AK118" s="98">
        <f t="shared" si="112"/>
        <v>6494591.6051882496</v>
      </c>
      <c r="AL118" s="98">
        <f t="shared" si="112"/>
        <v>6494591.6051882496</v>
      </c>
      <c r="AM118" s="98">
        <f t="shared" si="112"/>
        <v>6494591.6051882496</v>
      </c>
      <c r="AN118" s="98">
        <f t="shared" si="112"/>
        <v>6494591.6051882496</v>
      </c>
      <c r="AO118" s="98">
        <f t="shared" si="112"/>
        <v>6494591.6051882496</v>
      </c>
      <c r="AP118" s="98">
        <f t="shared" si="112"/>
        <v>6494591.6051882496</v>
      </c>
      <c r="AQ118" s="98">
        <f t="shared" si="112"/>
        <v>6494591.6051882496</v>
      </c>
      <c r="AR118" s="98">
        <f t="shared" si="112"/>
        <v>6494591.6051882496</v>
      </c>
      <c r="AS118" s="98">
        <f t="shared" si="112"/>
        <v>6494591.6051882496</v>
      </c>
      <c r="AT118" s="98">
        <f t="shared" si="112"/>
        <v>6494591.6051882496</v>
      </c>
      <c r="AU118" s="98">
        <f t="shared" si="112"/>
        <v>6494591.6051882496</v>
      </c>
      <c r="AV118" s="98">
        <f t="shared" si="112"/>
        <v>6494591.6051882496</v>
      </c>
      <c r="AW118" s="98">
        <f t="shared" si="112"/>
        <v>6494591.6051882496</v>
      </c>
      <c r="AX118" s="98">
        <f t="shared" si="112"/>
        <v>6494591.6051882496</v>
      </c>
      <c r="AY118" s="98">
        <f t="shared" si="112"/>
        <v>6494591.6051882496</v>
      </c>
      <c r="AZ118" s="98">
        <f t="shared" si="112"/>
        <v>6494591.6051882496</v>
      </c>
      <c r="BA118" s="98">
        <f t="shared" si="112"/>
        <v>6494591.6051882496</v>
      </c>
      <c r="BB118" s="98">
        <f t="shared" si="112"/>
        <v>6494591.6051882496</v>
      </c>
      <c r="BC118" s="98">
        <f t="shared" si="112"/>
        <v>6494591.6051882496</v>
      </c>
      <c r="BD118" s="98">
        <f t="shared" si="112"/>
        <v>6494591.6051882496</v>
      </c>
      <c r="BE118" s="98">
        <f t="shared" si="112"/>
        <v>6494591.6051882496</v>
      </c>
    </row>
    <row r="119" spans="3:59" outlineLevel="1" x14ac:dyDescent="0.25">
      <c r="C119" s="88"/>
      <c r="E119" t="s">
        <v>833</v>
      </c>
      <c r="G119" t="s">
        <v>277</v>
      </c>
      <c r="H119" s="63"/>
      <c r="J119" s="98">
        <f>SUM($J$54:$Y$57,$R$51:$Y$53)</f>
        <v>41498405.400614232</v>
      </c>
      <c r="K119" s="98">
        <f t="shared" ref="K119:BE119" si="113">SUM($J$54:$Y$57,$R$51:$Y$53)</f>
        <v>41498405.400614232</v>
      </c>
      <c r="L119" s="98">
        <f>SUM($J$54:$Y$57,$R$51:$Y$53)</f>
        <v>41498405.400614232</v>
      </c>
      <c r="M119" s="98">
        <f t="shared" si="113"/>
        <v>41498405.400614232</v>
      </c>
      <c r="N119" s="98">
        <f t="shared" si="113"/>
        <v>41498405.400614232</v>
      </c>
      <c r="O119" s="98">
        <f t="shared" si="113"/>
        <v>41498405.400614232</v>
      </c>
      <c r="P119" s="98">
        <f t="shared" si="113"/>
        <v>41498405.400614232</v>
      </c>
      <c r="Q119" s="98">
        <f t="shared" si="113"/>
        <v>41498405.400614232</v>
      </c>
      <c r="R119" s="98">
        <f t="shared" si="113"/>
        <v>41498405.400614232</v>
      </c>
      <c r="S119" s="98">
        <f t="shared" si="113"/>
        <v>41498405.400614232</v>
      </c>
      <c r="T119" s="98">
        <f t="shared" si="113"/>
        <v>41498405.400614232</v>
      </c>
      <c r="U119" s="98">
        <f t="shared" si="113"/>
        <v>41498405.400614232</v>
      </c>
      <c r="V119" s="98">
        <f t="shared" si="113"/>
        <v>41498405.400614232</v>
      </c>
      <c r="W119" s="98">
        <f t="shared" si="113"/>
        <v>41498405.400614232</v>
      </c>
      <c r="X119" s="98">
        <f t="shared" si="113"/>
        <v>41498405.400614232</v>
      </c>
      <c r="Y119" s="98">
        <f t="shared" si="113"/>
        <v>41498405.400614232</v>
      </c>
      <c r="Z119" s="98">
        <f t="shared" si="113"/>
        <v>41498405.400614232</v>
      </c>
      <c r="AA119" s="98">
        <f t="shared" si="113"/>
        <v>41498405.400614232</v>
      </c>
      <c r="AB119" s="98">
        <f t="shared" si="113"/>
        <v>41498405.400614232</v>
      </c>
      <c r="AC119" s="98">
        <f t="shared" si="113"/>
        <v>41498405.400614232</v>
      </c>
      <c r="AD119" s="98">
        <f t="shared" si="113"/>
        <v>41498405.400614232</v>
      </c>
      <c r="AE119" s="98">
        <f t="shared" si="113"/>
        <v>41498405.400614232</v>
      </c>
      <c r="AF119" s="98">
        <f t="shared" si="113"/>
        <v>41498405.400614232</v>
      </c>
      <c r="AG119" s="98">
        <f t="shared" si="113"/>
        <v>41498405.400614232</v>
      </c>
      <c r="AH119" s="98">
        <f t="shared" si="113"/>
        <v>41498405.400614232</v>
      </c>
      <c r="AI119" s="98">
        <f t="shared" si="113"/>
        <v>41498405.400614232</v>
      </c>
      <c r="AJ119" s="98">
        <f t="shared" si="113"/>
        <v>41498405.400614232</v>
      </c>
      <c r="AK119" s="98">
        <f t="shared" si="113"/>
        <v>41498405.400614232</v>
      </c>
      <c r="AL119" s="98">
        <f t="shared" si="113"/>
        <v>41498405.400614232</v>
      </c>
      <c r="AM119" s="98">
        <f t="shared" si="113"/>
        <v>41498405.400614232</v>
      </c>
      <c r="AN119" s="98">
        <f t="shared" si="113"/>
        <v>41498405.400614232</v>
      </c>
      <c r="AO119" s="98">
        <f t="shared" si="113"/>
        <v>41498405.400614232</v>
      </c>
      <c r="AP119" s="98">
        <f t="shared" si="113"/>
        <v>41498405.400614232</v>
      </c>
      <c r="AQ119" s="98">
        <f t="shared" si="113"/>
        <v>41498405.400614232</v>
      </c>
      <c r="AR119" s="98">
        <f t="shared" si="113"/>
        <v>41498405.400614232</v>
      </c>
      <c r="AS119" s="98">
        <f t="shared" si="113"/>
        <v>41498405.400614232</v>
      </c>
      <c r="AT119" s="98">
        <f t="shared" si="113"/>
        <v>41498405.400614232</v>
      </c>
      <c r="AU119" s="98">
        <f t="shared" si="113"/>
        <v>41498405.400614232</v>
      </c>
      <c r="AV119" s="98">
        <f t="shared" si="113"/>
        <v>41498405.400614232</v>
      </c>
      <c r="AW119" s="98">
        <f t="shared" si="113"/>
        <v>41498405.400614232</v>
      </c>
      <c r="AX119" s="98">
        <f t="shared" si="113"/>
        <v>41498405.400614232</v>
      </c>
      <c r="AY119" s="98">
        <f t="shared" si="113"/>
        <v>41498405.400614232</v>
      </c>
      <c r="AZ119" s="98">
        <f t="shared" si="113"/>
        <v>41498405.400614232</v>
      </c>
      <c r="BA119" s="98">
        <f t="shared" si="113"/>
        <v>41498405.400614232</v>
      </c>
      <c r="BB119" s="98">
        <f t="shared" si="113"/>
        <v>41498405.400614232</v>
      </c>
      <c r="BC119" s="98">
        <f t="shared" si="113"/>
        <v>41498405.400614232</v>
      </c>
      <c r="BD119" s="98">
        <f t="shared" si="113"/>
        <v>41498405.400614232</v>
      </c>
      <c r="BE119" s="98">
        <f t="shared" si="113"/>
        <v>41498405.400614232</v>
      </c>
    </row>
    <row r="120" spans="3:59" outlineLevel="1" x14ac:dyDescent="0.25">
      <c r="C120" s="88"/>
      <c r="E120" t="s">
        <v>834</v>
      </c>
      <c r="G120" t="s">
        <v>277</v>
      </c>
      <c r="H120" s="63"/>
      <c r="J120" s="79"/>
      <c r="K120" s="98">
        <f t="shared" ref="K120:BE120" si="114">J120 + J118 * (K117 - J117) * ten</f>
        <v>511604.93755334435</v>
      </c>
      <c r="L120" s="98">
        <f t="shared" si="114"/>
        <v>511604.93755334435</v>
      </c>
      <c r="M120" s="98">
        <f t="shared" si="114"/>
        <v>989230.95960841607</v>
      </c>
      <c r="N120" s="98">
        <f t="shared" si="114"/>
        <v>989230.95960841607</v>
      </c>
      <c r="O120" s="98">
        <f t="shared" si="114"/>
        <v>9987345.1647487767</v>
      </c>
      <c r="P120" s="98">
        <f t="shared" si="114"/>
        <v>31729452.269894511</v>
      </c>
      <c r="Q120" s="98">
        <f t="shared" si="114"/>
        <v>32562428.297873985</v>
      </c>
      <c r="R120" s="98">
        <f t="shared" si="114"/>
        <v>38741491.11005649</v>
      </c>
      <c r="S120" s="98">
        <f t="shared" si="114"/>
        <v>38893213.500552118</v>
      </c>
      <c r="T120" s="98">
        <f t="shared" si="114"/>
        <v>47490826.380695701</v>
      </c>
      <c r="U120" s="98">
        <f t="shared" si="114"/>
        <v>47490826.380695701</v>
      </c>
      <c r="V120" s="98">
        <f t="shared" si="114"/>
        <v>48369848.674312674</v>
      </c>
      <c r="W120" s="98">
        <f t="shared" si="114"/>
        <v>48369848.674312674</v>
      </c>
      <c r="X120" s="98">
        <f t="shared" si="114"/>
        <v>57267336.993629426</v>
      </c>
      <c r="Y120" s="98">
        <f t="shared" si="114"/>
        <v>72964784.817458317</v>
      </c>
      <c r="Z120" s="98">
        <f t="shared" si="114"/>
        <v>72964784.817458317</v>
      </c>
      <c r="AA120" s="98">
        <f t="shared" si="114"/>
        <v>74141158.567765027</v>
      </c>
      <c r="AB120" s="98">
        <f t="shared" si="114"/>
        <v>74141158.567765027</v>
      </c>
      <c r="AC120" s="98">
        <f t="shared" si="114"/>
        <v>79937202.047275156</v>
      </c>
      <c r="AD120" s="98">
        <f t="shared" si="114"/>
        <v>82081610.468080729</v>
      </c>
      <c r="AE120" s="98">
        <f t="shared" si="114"/>
        <v>90523367.960932463</v>
      </c>
      <c r="AF120" s="98">
        <f t="shared" si="114"/>
        <v>98659137.76704374</v>
      </c>
      <c r="AG120" s="98">
        <f t="shared" si="114"/>
        <v>104130632.52089758</v>
      </c>
      <c r="AH120" s="98">
        <f t="shared" si="114"/>
        <v>130401558.59144245</v>
      </c>
      <c r="AI120" s="98">
        <f t="shared" si="114"/>
        <v>130401558.59144245</v>
      </c>
      <c r="AJ120" s="98">
        <f t="shared" si="114"/>
        <v>144404222.96288377</v>
      </c>
      <c r="AK120" s="98">
        <f t="shared" si="114"/>
        <v>144404222.96288377</v>
      </c>
      <c r="AL120" s="98">
        <f t="shared" si="114"/>
        <v>144404222.96288377</v>
      </c>
      <c r="AM120" s="98">
        <f t="shared" si="114"/>
        <v>147886287.12085861</v>
      </c>
      <c r="AN120" s="98">
        <f t="shared" si="114"/>
        <v>147886287.12085861</v>
      </c>
      <c r="AO120" s="98">
        <f t="shared" si="114"/>
        <v>147886287.12085861</v>
      </c>
      <c r="AP120" s="98">
        <f t="shared" si="114"/>
        <v>148914906.1780695</v>
      </c>
      <c r="AQ120" s="98">
        <f t="shared" si="114"/>
        <v>148914906.1780695</v>
      </c>
      <c r="AR120" s="98">
        <f t="shared" si="114"/>
        <v>178721966.80813402</v>
      </c>
      <c r="AS120" s="98">
        <f t="shared" si="114"/>
        <v>178721966.80813402</v>
      </c>
      <c r="AT120" s="98">
        <f t="shared" si="114"/>
        <v>178721966.80813402</v>
      </c>
      <c r="AU120" s="98">
        <f t="shared" si="114"/>
        <v>186177420.22457466</v>
      </c>
      <c r="AV120" s="98">
        <f t="shared" si="114"/>
        <v>186177420.22457466</v>
      </c>
      <c r="AW120" s="98">
        <f t="shared" si="114"/>
        <v>186177420.22457466</v>
      </c>
      <c r="AX120" s="98">
        <f t="shared" si="114"/>
        <v>340093002.89445603</v>
      </c>
      <c r="AY120" s="98">
        <f t="shared" si="114"/>
        <v>340093002.89445603</v>
      </c>
      <c r="AZ120" s="98">
        <f t="shared" si="114"/>
        <v>525721367.50385708</v>
      </c>
      <c r="BA120" s="98">
        <f t="shared" si="114"/>
        <v>525721367.50385708</v>
      </c>
      <c r="BB120" s="98">
        <f t="shared" si="114"/>
        <v>525721367.50385708</v>
      </c>
      <c r="BC120" s="98">
        <f t="shared" si="114"/>
        <v>572593756.17096829</v>
      </c>
      <c r="BD120" s="98">
        <f t="shared" si="114"/>
        <v>572593756.17096829</v>
      </c>
      <c r="BE120" s="98">
        <f t="shared" si="114"/>
        <v>572593756.17096829</v>
      </c>
    </row>
    <row r="121" spans="3:59" outlineLevel="1" x14ac:dyDescent="0.25">
      <c r="C121" s="88"/>
      <c r="E121" t="s">
        <v>835</v>
      </c>
      <c r="G121" t="s">
        <v>277</v>
      </c>
      <c r="H121" s="63"/>
      <c r="J121" s="98">
        <f>J119 + J120</f>
        <v>41498405.400614232</v>
      </c>
      <c r="K121" s="98">
        <f t="shared" ref="K121:BE121" si="115">K119 + K120</f>
        <v>42010010.338167578</v>
      </c>
      <c r="L121" s="98">
        <f t="shared" si="115"/>
        <v>42010010.338167578</v>
      </c>
      <c r="M121" s="98">
        <f t="shared" si="115"/>
        <v>42487636.360222645</v>
      </c>
      <c r="N121" s="98">
        <f t="shared" si="115"/>
        <v>42487636.360222645</v>
      </c>
      <c r="O121" s="98">
        <f t="shared" si="115"/>
        <v>51485750.565363005</v>
      </c>
      <c r="P121" s="98">
        <f t="shared" si="115"/>
        <v>73227857.670508742</v>
      </c>
      <c r="Q121" s="98">
        <f t="shared" si="115"/>
        <v>74060833.698488221</v>
      </c>
      <c r="R121" s="98">
        <f t="shared" si="115"/>
        <v>80239896.510670722</v>
      </c>
      <c r="S121" s="98">
        <f t="shared" si="115"/>
        <v>80391618.90116635</v>
      </c>
      <c r="T121" s="98">
        <f t="shared" si="115"/>
        <v>88989231.781309932</v>
      </c>
      <c r="U121" s="98">
        <f t="shared" si="115"/>
        <v>88989231.781309932</v>
      </c>
      <c r="V121" s="98">
        <f t="shared" si="115"/>
        <v>89868254.074926913</v>
      </c>
      <c r="W121" s="98">
        <f t="shared" si="115"/>
        <v>89868254.074926913</v>
      </c>
      <c r="X121" s="98">
        <f t="shared" si="115"/>
        <v>98765742.394243658</v>
      </c>
      <c r="Y121" s="98">
        <f t="shared" si="115"/>
        <v>114463190.21807255</v>
      </c>
      <c r="Z121" s="98">
        <f t="shared" si="115"/>
        <v>114463190.21807255</v>
      </c>
      <c r="AA121" s="98">
        <f t="shared" si="115"/>
        <v>115639563.96837926</v>
      </c>
      <c r="AB121" s="98">
        <f t="shared" si="115"/>
        <v>115639563.96837926</v>
      </c>
      <c r="AC121" s="98">
        <f t="shared" si="115"/>
        <v>121435607.44788939</v>
      </c>
      <c r="AD121" s="98">
        <f t="shared" si="115"/>
        <v>123580015.86869496</v>
      </c>
      <c r="AE121" s="98">
        <f t="shared" si="115"/>
        <v>132021773.3615467</v>
      </c>
      <c r="AF121" s="98">
        <f t="shared" si="115"/>
        <v>140157543.16765797</v>
      </c>
      <c r="AG121" s="98">
        <f t="shared" si="115"/>
        <v>145629037.92151183</v>
      </c>
      <c r="AH121" s="98">
        <f t="shared" si="115"/>
        <v>171899963.99205667</v>
      </c>
      <c r="AI121" s="98">
        <f t="shared" si="115"/>
        <v>171899963.99205667</v>
      </c>
      <c r="AJ121" s="98">
        <f t="shared" si="115"/>
        <v>185902628.363498</v>
      </c>
      <c r="AK121" s="98">
        <f t="shared" si="115"/>
        <v>185902628.363498</v>
      </c>
      <c r="AL121" s="98">
        <f t="shared" si="115"/>
        <v>185902628.363498</v>
      </c>
      <c r="AM121" s="98">
        <f t="shared" si="115"/>
        <v>189384692.52147284</v>
      </c>
      <c r="AN121" s="98">
        <f t="shared" si="115"/>
        <v>189384692.52147284</v>
      </c>
      <c r="AO121" s="98">
        <f t="shared" si="115"/>
        <v>189384692.52147284</v>
      </c>
      <c r="AP121" s="98">
        <f t="shared" si="115"/>
        <v>190413311.57868373</v>
      </c>
      <c r="AQ121" s="98">
        <f t="shared" si="115"/>
        <v>190413311.57868373</v>
      </c>
      <c r="AR121" s="98">
        <f t="shared" si="115"/>
        <v>220220372.20874825</v>
      </c>
      <c r="AS121" s="98">
        <f t="shared" si="115"/>
        <v>220220372.20874825</v>
      </c>
      <c r="AT121" s="98">
        <f t="shared" si="115"/>
        <v>220220372.20874825</v>
      </c>
      <c r="AU121" s="98">
        <f t="shared" si="115"/>
        <v>227675825.62518889</v>
      </c>
      <c r="AV121" s="98">
        <f t="shared" si="115"/>
        <v>227675825.62518889</v>
      </c>
      <c r="AW121" s="98">
        <f t="shared" si="115"/>
        <v>227675825.62518889</v>
      </c>
      <c r="AX121" s="98">
        <f t="shared" si="115"/>
        <v>381591408.29507029</v>
      </c>
      <c r="AY121" s="98">
        <f t="shared" si="115"/>
        <v>381591408.29507029</v>
      </c>
      <c r="AZ121" s="98">
        <f t="shared" si="115"/>
        <v>567219772.90447128</v>
      </c>
      <c r="BA121" s="98">
        <f t="shared" si="115"/>
        <v>567219772.90447128</v>
      </c>
      <c r="BB121" s="98">
        <f t="shared" si="115"/>
        <v>567219772.90447128</v>
      </c>
      <c r="BC121" s="98">
        <f t="shared" si="115"/>
        <v>614092161.57158256</v>
      </c>
      <c r="BD121" s="98">
        <f t="shared" si="115"/>
        <v>614092161.57158256</v>
      </c>
      <c r="BE121" s="98">
        <f t="shared" si="115"/>
        <v>614092161.57158256</v>
      </c>
    </row>
    <row r="122" spans="3:59" outlineLevel="1" x14ac:dyDescent="0.25">
      <c r="C122" s="88"/>
      <c r="E122" t="s">
        <v>738</v>
      </c>
      <c r="G122" t="s">
        <v>277</v>
      </c>
      <c r="H122" s="63"/>
      <c r="J122" s="98">
        <f>$H$43</f>
        <v>244218370.70518112</v>
      </c>
      <c r="K122" s="98">
        <f t="shared" ref="K122:BE122" si="116">$H$43</f>
        <v>244218370.70518112</v>
      </c>
      <c r="L122" s="98">
        <f t="shared" si="116"/>
        <v>244218370.70518112</v>
      </c>
      <c r="M122" s="98">
        <f t="shared" si="116"/>
        <v>244218370.70518112</v>
      </c>
      <c r="N122" s="98">
        <f t="shared" si="116"/>
        <v>244218370.70518112</v>
      </c>
      <c r="O122" s="98">
        <f t="shared" si="116"/>
        <v>244218370.70518112</v>
      </c>
      <c r="P122" s="98">
        <f t="shared" si="116"/>
        <v>244218370.70518112</v>
      </c>
      <c r="Q122" s="98">
        <f t="shared" si="116"/>
        <v>244218370.70518112</v>
      </c>
      <c r="R122" s="98">
        <f t="shared" si="116"/>
        <v>244218370.70518112</v>
      </c>
      <c r="S122" s="98">
        <f t="shared" si="116"/>
        <v>244218370.70518112</v>
      </c>
      <c r="T122" s="98">
        <f t="shared" si="116"/>
        <v>244218370.70518112</v>
      </c>
      <c r="U122" s="98">
        <f t="shared" si="116"/>
        <v>244218370.70518112</v>
      </c>
      <c r="V122" s="98">
        <f t="shared" si="116"/>
        <v>244218370.70518112</v>
      </c>
      <c r="W122" s="98">
        <f t="shared" si="116"/>
        <v>244218370.70518112</v>
      </c>
      <c r="X122" s="98">
        <f t="shared" si="116"/>
        <v>244218370.70518112</v>
      </c>
      <c r="Y122" s="98">
        <f t="shared" si="116"/>
        <v>244218370.70518112</v>
      </c>
      <c r="Z122" s="98">
        <f t="shared" si="116"/>
        <v>244218370.70518112</v>
      </c>
      <c r="AA122" s="98">
        <f t="shared" si="116"/>
        <v>244218370.70518112</v>
      </c>
      <c r="AB122" s="98">
        <f t="shared" si="116"/>
        <v>244218370.70518112</v>
      </c>
      <c r="AC122" s="98">
        <f t="shared" si="116"/>
        <v>244218370.70518112</v>
      </c>
      <c r="AD122" s="98">
        <f t="shared" si="116"/>
        <v>244218370.70518112</v>
      </c>
      <c r="AE122" s="98">
        <f t="shared" si="116"/>
        <v>244218370.70518112</v>
      </c>
      <c r="AF122" s="98">
        <f t="shared" si="116"/>
        <v>244218370.70518112</v>
      </c>
      <c r="AG122" s="98">
        <f t="shared" si="116"/>
        <v>244218370.70518112</v>
      </c>
      <c r="AH122" s="98">
        <f t="shared" si="116"/>
        <v>244218370.70518112</v>
      </c>
      <c r="AI122" s="98">
        <f t="shared" si="116"/>
        <v>244218370.70518112</v>
      </c>
      <c r="AJ122" s="98">
        <f t="shared" si="116"/>
        <v>244218370.70518112</v>
      </c>
      <c r="AK122" s="98">
        <f t="shared" si="116"/>
        <v>244218370.70518112</v>
      </c>
      <c r="AL122" s="98">
        <f t="shared" si="116"/>
        <v>244218370.70518112</v>
      </c>
      <c r="AM122" s="98">
        <f t="shared" si="116"/>
        <v>244218370.70518112</v>
      </c>
      <c r="AN122" s="98">
        <f t="shared" si="116"/>
        <v>244218370.70518112</v>
      </c>
      <c r="AO122" s="98">
        <f t="shared" si="116"/>
        <v>244218370.70518112</v>
      </c>
      <c r="AP122" s="98">
        <f t="shared" si="116"/>
        <v>244218370.70518112</v>
      </c>
      <c r="AQ122" s="98">
        <f t="shared" si="116"/>
        <v>244218370.70518112</v>
      </c>
      <c r="AR122" s="98">
        <f t="shared" si="116"/>
        <v>244218370.70518112</v>
      </c>
      <c r="AS122" s="98">
        <f t="shared" si="116"/>
        <v>244218370.70518112</v>
      </c>
      <c r="AT122" s="98">
        <f t="shared" si="116"/>
        <v>244218370.70518112</v>
      </c>
      <c r="AU122" s="98">
        <f t="shared" si="116"/>
        <v>244218370.70518112</v>
      </c>
      <c r="AV122" s="98">
        <f t="shared" si="116"/>
        <v>244218370.70518112</v>
      </c>
      <c r="AW122" s="98">
        <f t="shared" si="116"/>
        <v>244218370.70518112</v>
      </c>
      <c r="AX122" s="98">
        <f t="shared" si="116"/>
        <v>244218370.70518112</v>
      </c>
      <c r="AY122" s="98">
        <f t="shared" si="116"/>
        <v>244218370.70518112</v>
      </c>
      <c r="AZ122" s="98">
        <f t="shared" si="116"/>
        <v>244218370.70518112</v>
      </c>
      <c r="BA122" s="98">
        <f t="shared" si="116"/>
        <v>244218370.70518112</v>
      </c>
      <c r="BB122" s="98">
        <f t="shared" si="116"/>
        <v>244218370.70518112</v>
      </c>
      <c r="BC122" s="98">
        <f t="shared" si="116"/>
        <v>244218370.70518112</v>
      </c>
      <c r="BD122" s="98">
        <f t="shared" si="116"/>
        <v>244218370.70518112</v>
      </c>
      <c r="BE122" s="98">
        <f t="shared" si="116"/>
        <v>244218370.70518112</v>
      </c>
    </row>
    <row r="123" spans="3:59" outlineLevel="1" x14ac:dyDescent="0.25">
      <c r="C123" s="88"/>
      <c r="E123" t="s">
        <v>836</v>
      </c>
      <c r="G123" t="s">
        <v>269</v>
      </c>
      <c r="H123" s="294" t="str">
        <f>IF(((SUMPRODUCT($J$102:$BE$102, $J$103:$BE$103) * ten) - $H$60) &gt; 0, $J$117, IF(BE121 &gt; BE122, "", $H$90))</f>
        <v/>
      </c>
      <c r="I123" s="272"/>
      <c r="J123" s="290" t="str">
        <f t="shared" ref="J123:BE123" si="117">IF((J121 &gt; J122) = (I122 &gt; J122), "", J117 - (J121 - J122) / (I118 * ten))</f>
        <v/>
      </c>
      <c r="K123" s="290" t="str">
        <f t="shared" si="117"/>
        <v/>
      </c>
      <c r="L123" s="290" t="str">
        <f t="shared" si="117"/>
        <v/>
      </c>
      <c r="M123" s="290" t="str">
        <f t="shared" si="117"/>
        <v/>
      </c>
      <c r="N123" s="290" t="str">
        <f t="shared" si="117"/>
        <v/>
      </c>
      <c r="O123" s="290" t="str">
        <f t="shared" si="117"/>
        <v/>
      </c>
      <c r="P123" s="290" t="str">
        <f t="shared" si="117"/>
        <v/>
      </c>
      <c r="Q123" s="290" t="str">
        <f t="shared" si="117"/>
        <v/>
      </c>
      <c r="R123" s="290" t="str">
        <f t="shared" si="117"/>
        <v/>
      </c>
      <c r="S123" s="290" t="str">
        <f t="shared" si="117"/>
        <v/>
      </c>
      <c r="T123" s="290" t="str">
        <f t="shared" si="117"/>
        <v/>
      </c>
      <c r="U123" s="290" t="str">
        <f t="shared" si="117"/>
        <v/>
      </c>
      <c r="V123" s="290" t="str">
        <f t="shared" si="117"/>
        <v/>
      </c>
      <c r="W123" s="290" t="str">
        <f t="shared" si="117"/>
        <v/>
      </c>
      <c r="X123" s="290" t="str">
        <f t="shared" si="117"/>
        <v/>
      </c>
      <c r="Y123" s="290" t="str">
        <f t="shared" si="117"/>
        <v/>
      </c>
      <c r="Z123" s="290" t="str">
        <f t="shared" si="117"/>
        <v/>
      </c>
      <c r="AA123" s="290" t="str">
        <f t="shared" si="117"/>
        <v/>
      </c>
      <c r="AB123" s="290" t="str">
        <f t="shared" si="117"/>
        <v/>
      </c>
      <c r="AC123" s="290" t="str">
        <f t="shared" si="117"/>
        <v/>
      </c>
      <c r="AD123" s="290" t="str">
        <f t="shared" si="117"/>
        <v/>
      </c>
      <c r="AE123" s="290" t="str">
        <f t="shared" si="117"/>
        <v/>
      </c>
      <c r="AF123" s="290" t="str">
        <f t="shared" si="117"/>
        <v/>
      </c>
      <c r="AG123" s="290" t="str">
        <f t="shared" si="117"/>
        <v/>
      </c>
      <c r="AH123" s="290" t="str">
        <f t="shared" si="117"/>
        <v/>
      </c>
      <c r="AI123" s="290" t="str">
        <f t="shared" si="117"/>
        <v/>
      </c>
      <c r="AJ123" s="290" t="str">
        <f t="shared" si="117"/>
        <v/>
      </c>
      <c r="AK123" s="290" t="str">
        <f t="shared" si="117"/>
        <v/>
      </c>
      <c r="AL123" s="290" t="str">
        <f t="shared" si="117"/>
        <v/>
      </c>
      <c r="AM123" s="290" t="str">
        <f t="shared" si="117"/>
        <v/>
      </c>
      <c r="AN123" s="290" t="str">
        <f t="shared" si="117"/>
        <v/>
      </c>
      <c r="AO123" s="290" t="str">
        <f t="shared" si="117"/>
        <v/>
      </c>
      <c r="AP123" s="290" t="str">
        <f t="shared" si="117"/>
        <v/>
      </c>
      <c r="AQ123" s="290" t="str">
        <f t="shared" si="117"/>
        <v/>
      </c>
      <c r="AR123" s="290" t="str">
        <f t="shared" si="117"/>
        <v/>
      </c>
      <c r="AS123" s="290" t="str">
        <f t="shared" si="117"/>
        <v/>
      </c>
      <c r="AT123" s="290" t="str">
        <f t="shared" si="117"/>
        <v/>
      </c>
      <c r="AU123" s="290" t="str">
        <f t="shared" si="117"/>
        <v/>
      </c>
      <c r="AV123" s="290" t="str">
        <f t="shared" si="117"/>
        <v/>
      </c>
      <c r="AW123" s="290" t="str">
        <f t="shared" si="117"/>
        <v/>
      </c>
      <c r="AX123" s="290">
        <f>IF((AX121 &gt; AX122) = (AW122 &gt; AX122), "", AX117 - (AX121 - AX122) / (AW118 * ten))</f>
        <v>1.3449616736720098</v>
      </c>
      <c r="AY123" s="290">
        <f t="shared" si="117"/>
        <v>1.3449616736720098</v>
      </c>
      <c r="AZ123" s="290">
        <f t="shared" si="117"/>
        <v>1.3449616736720111</v>
      </c>
      <c r="BA123" s="290">
        <f t="shared" si="117"/>
        <v>1.3449616736720111</v>
      </c>
      <c r="BB123" s="290">
        <f t="shared" si="117"/>
        <v>1.3449616736720111</v>
      </c>
      <c r="BC123" s="290">
        <f t="shared" si="117"/>
        <v>1.3449616736720102</v>
      </c>
      <c r="BD123" s="290">
        <f t="shared" si="117"/>
        <v>1.3449616736720102</v>
      </c>
      <c r="BE123" s="290">
        <f t="shared" si="117"/>
        <v>1.3449616736720102</v>
      </c>
      <c r="BF123" s="272"/>
      <c r="BG123" s="272"/>
    </row>
    <row r="124" spans="3:59" x14ac:dyDescent="0.25">
      <c r="C124" s="88"/>
    </row>
    <row r="125" spans="3:59" x14ac:dyDescent="0.25">
      <c r="D125" s="32" t="s">
        <v>837</v>
      </c>
      <c r="E125"/>
      <c r="H125" s="210"/>
      <c r="I125" s="210" t="s">
        <v>154</v>
      </c>
      <c r="BG125" t="s">
        <v>838</v>
      </c>
    </row>
    <row r="126" spans="3:59" x14ac:dyDescent="0.25">
      <c r="C126" s="32"/>
      <c r="D126" s="29" t="s">
        <v>839</v>
      </c>
      <c r="H126" s="210"/>
      <c r="I126" s="210"/>
    </row>
    <row r="127" spans="3:59" x14ac:dyDescent="0.25">
      <c r="C127" s="32"/>
      <c r="D127" s="29" t="s">
        <v>840</v>
      </c>
      <c r="H127" s="210"/>
      <c r="I127" s="210"/>
    </row>
    <row r="128" spans="3:59" x14ac:dyDescent="0.25">
      <c r="C128" s="32"/>
      <c r="D128" s="29"/>
      <c r="H128" s="210"/>
      <c r="I128" s="210"/>
    </row>
    <row r="129" spans="2:59" x14ac:dyDescent="0.25">
      <c r="C129" s="88"/>
      <c r="E129" t="s">
        <v>837</v>
      </c>
      <c r="G129" t="s">
        <v>269</v>
      </c>
      <c r="H129" s="290">
        <f>MIN(H123:BE123)</f>
        <v>1.3449616736720098</v>
      </c>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72"/>
      <c r="AV129" s="272"/>
      <c r="AW129" s="272"/>
      <c r="AX129" s="272"/>
      <c r="AY129" s="272"/>
      <c r="AZ129" s="272"/>
      <c r="BA129" s="272"/>
      <c r="BB129" s="272"/>
      <c r="BC129" s="272"/>
      <c r="BD129" s="272"/>
      <c r="BE129" s="272"/>
      <c r="BF129" s="272"/>
      <c r="BG129" s="272"/>
    </row>
    <row r="130" spans="2:59" x14ac:dyDescent="0.25">
      <c r="C130" s="88"/>
    </row>
    <row r="131" spans="2:59" x14ac:dyDescent="0.25">
      <c r="C131" s="31" t="str">
        <f ca="1">INDEX('Version control'!$H$34:$H$57,MATCH($A$1,'Version control'!$F$34:$F$57,0),1)&amp;"-E: Adder to be applied to unit rates"</f>
        <v>Section 115-E: Adder to be applied to unit rates</v>
      </c>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c r="BB131" s="31"/>
      <c r="BC131" s="31"/>
      <c r="BD131" s="31"/>
      <c r="BE131" s="31"/>
      <c r="BF131" s="31"/>
      <c r="BG131" s="31"/>
    </row>
    <row r="132" spans="2:59" x14ac:dyDescent="0.25">
      <c r="B132" s="29"/>
      <c r="C132" s="88"/>
    </row>
    <row r="133" spans="2:59" x14ac:dyDescent="0.25">
      <c r="C133" s="29" t="s">
        <v>841</v>
      </c>
    </row>
    <row r="134" spans="2:59" x14ac:dyDescent="0.25">
      <c r="B134" s="29"/>
      <c r="C134" s="29" t="s">
        <v>842</v>
      </c>
    </row>
    <row r="135" spans="2:59" x14ac:dyDescent="0.25">
      <c r="B135" s="29"/>
      <c r="C135" s="88"/>
    </row>
    <row r="136" spans="2:59" x14ac:dyDescent="0.25">
      <c r="B136" s="29"/>
      <c r="E136" s="88" t="s">
        <v>843</v>
      </c>
      <c r="F136" s="2"/>
      <c r="I136" t="s">
        <v>154</v>
      </c>
      <c r="BG136" t="s">
        <v>838</v>
      </c>
    </row>
    <row r="137" spans="2:59" x14ac:dyDescent="0.25">
      <c r="B137" s="29"/>
      <c r="E137" s="29" t="s">
        <v>844</v>
      </c>
    </row>
    <row r="138" spans="2:59" x14ac:dyDescent="0.25">
      <c r="B138" s="29"/>
      <c r="D138"/>
      <c r="E138" s="29" t="s">
        <v>845</v>
      </c>
      <c r="F138" s="2"/>
    </row>
    <row r="139" spans="2:59" x14ac:dyDescent="0.25">
      <c r="C139" s="88"/>
      <c r="F139" s="23" t="s">
        <v>846</v>
      </c>
      <c r="G139" s="23" t="s">
        <v>269</v>
      </c>
      <c r="H139" s="270"/>
      <c r="I139" s="270"/>
      <c r="J139" s="279">
        <f>MAX($H$129, J74)</f>
        <v>1.3449616736720098</v>
      </c>
      <c r="K139" s="279">
        <f t="shared" ref="K139:Q139" si="118">MAX($H$129, K74)</f>
        <v>1.3449616736720098</v>
      </c>
      <c r="L139" s="279">
        <f t="shared" si="118"/>
        <v>1.3449616736720098</v>
      </c>
      <c r="M139" s="279">
        <f t="shared" si="118"/>
        <v>1.3449616736720098</v>
      </c>
      <c r="N139" s="279">
        <f t="shared" si="118"/>
        <v>1.3449616736720098</v>
      </c>
      <c r="O139" s="279">
        <f t="shared" si="118"/>
        <v>1.3449616736720098</v>
      </c>
      <c r="P139" s="279">
        <f t="shared" si="118"/>
        <v>1.3449616736720098</v>
      </c>
      <c r="Q139" s="279">
        <f t="shared" si="118"/>
        <v>1.3449616736720098</v>
      </c>
      <c r="R139" s="288"/>
      <c r="S139" s="288"/>
      <c r="T139" s="288"/>
      <c r="U139" s="288"/>
      <c r="V139" s="288"/>
      <c r="W139" s="288"/>
      <c r="X139" s="288"/>
      <c r="Y139" s="288"/>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72"/>
      <c r="AV139" s="272"/>
      <c r="AW139" s="272"/>
      <c r="AX139" s="272"/>
      <c r="AY139" s="272"/>
      <c r="AZ139" s="272"/>
      <c r="BA139" s="272"/>
      <c r="BB139" s="272"/>
      <c r="BC139" s="272"/>
      <c r="BD139" s="272"/>
      <c r="BE139" s="272"/>
      <c r="BF139" s="272"/>
      <c r="BG139" s="272"/>
    </row>
    <row r="140" spans="2:59" x14ac:dyDescent="0.25">
      <c r="C140" s="88"/>
      <c r="F140" t="s">
        <v>847</v>
      </c>
      <c r="G140" t="s">
        <v>269</v>
      </c>
      <c r="H140" s="272"/>
      <c r="I140" s="272"/>
      <c r="J140" s="280">
        <f>MAX($H$129, J75)</f>
        <v>1.3449616736720098</v>
      </c>
      <c r="K140" s="280">
        <f t="shared" ref="K140:Q140" si="119">MAX($H$129, K75)</f>
        <v>1.3449616736720098</v>
      </c>
      <c r="L140" s="280">
        <f t="shared" si="119"/>
        <v>1.3449616736720098</v>
      </c>
      <c r="M140" s="280">
        <f t="shared" si="119"/>
        <v>1.3449616736720098</v>
      </c>
      <c r="N140" s="280">
        <f t="shared" si="119"/>
        <v>1.3449616736720098</v>
      </c>
      <c r="O140" s="280">
        <f t="shared" si="119"/>
        <v>1.3449616736720098</v>
      </c>
      <c r="P140" s="280">
        <f t="shared" si="119"/>
        <v>1.3449616736720098</v>
      </c>
      <c r="Q140" s="280">
        <f t="shared" si="119"/>
        <v>1.3449616736720098</v>
      </c>
      <c r="R140" s="273"/>
      <c r="S140" s="273"/>
      <c r="T140" s="273"/>
      <c r="U140" s="273"/>
      <c r="V140" s="273"/>
      <c r="W140" s="273"/>
      <c r="X140" s="273"/>
      <c r="Y140" s="273"/>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72"/>
      <c r="AV140" s="272"/>
      <c r="AW140" s="272"/>
      <c r="AX140" s="272"/>
      <c r="AY140" s="272"/>
      <c r="AZ140" s="272"/>
      <c r="BA140" s="272"/>
      <c r="BB140" s="272"/>
      <c r="BC140" s="272"/>
      <c r="BD140" s="272"/>
      <c r="BE140" s="272"/>
      <c r="BF140" s="272"/>
      <c r="BG140" s="272"/>
    </row>
    <row r="141" spans="2:59" x14ac:dyDescent="0.25">
      <c r="C141" s="88"/>
      <c r="F141" s="37" t="s">
        <v>848</v>
      </c>
      <c r="G141" s="37" t="s">
        <v>269</v>
      </c>
      <c r="H141" s="276"/>
      <c r="I141" s="276"/>
      <c r="J141" s="281">
        <f>MAX($H$129, J76)</f>
        <v>1.3449616736720098</v>
      </c>
      <c r="K141" s="281">
        <f t="shared" ref="K141:Q141" si="120">MAX($H$129, K76)</f>
        <v>1.3449616736720098</v>
      </c>
      <c r="L141" s="281">
        <f t="shared" si="120"/>
        <v>1.3449616736720098</v>
      </c>
      <c r="M141" s="281">
        <f t="shared" si="120"/>
        <v>1.3449616736720098</v>
      </c>
      <c r="N141" s="281">
        <f t="shared" si="120"/>
        <v>1.3449616736720098</v>
      </c>
      <c r="O141" s="281">
        <f t="shared" si="120"/>
        <v>1.3449616736720098</v>
      </c>
      <c r="P141" s="281">
        <f t="shared" si="120"/>
        <v>1.3449616736720098</v>
      </c>
      <c r="Q141" s="281">
        <f t="shared" si="120"/>
        <v>1.3449616736720098</v>
      </c>
      <c r="R141" s="277"/>
      <c r="S141" s="277"/>
      <c r="T141" s="277"/>
      <c r="U141" s="277"/>
      <c r="V141" s="277"/>
      <c r="W141" s="277"/>
      <c r="X141" s="277"/>
      <c r="Y141" s="277"/>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72"/>
      <c r="AV141" s="272"/>
      <c r="AW141" s="272"/>
      <c r="AX141" s="272"/>
      <c r="AY141" s="272"/>
      <c r="AZ141" s="272"/>
      <c r="BA141" s="272"/>
      <c r="BB141" s="272"/>
      <c r="BC141" s="272"/>
      <c r="BD141" s="272"/>
      <c r="BE141" s="272"/>
      <c r="BF141" s="272"/>
      <c r="BG141" s="272"/>
    </row>
    <row r="142" spans="2:59" x14ac:dyDescent="0.25">
      <c r="C142" s="88"/>
    </row>
    <row r="143" spans="2:59" x14ac:dyDescent="0.25">
      <c r="B143" s="30" t="s">
        <v>231</v>
      </c>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105"/>
      <c r="AC143" s="105"/>
      <c r="AD143" s="105"/>
      <c r="AE143" s="105"/>
      <c r="AF143" s="105"/>
      <c r="AG143" s="105"/>
      <c r="AH143" s="105"/>
      <c r="AI143" s="105"/>
      <c r="AJ143" s="105"/>
      <c r="AK143" s="105"/>
      <c r="AL143" s="105"/>
      <c r="AM143" s="105"/>
      <c r="AN143" s="105"/>
      <c r="AO143" s="105"/>
      <c r="AP143" s="105"/>
      <c r="AQ143" s="105"/>
      <c r="AR143" s="105"/>
      <c r="AS143" s="105"/>
      <c r="AT143" s="105"/>
      <c r="AU143" s="105"/>
      <c r="AV143" s="105"/>
      <c r="AW143" s="105"/>
      <c r="AX143" s="105"/>
      <c r="AY143" s="105"/>
      <c r="AZ143" s="105"/>
      <c r="BA143" s="105"/>
      <c r="BB143" s="105"/>
      <c r="BC143" s="105"/>
      <c r="BD143" s="105"/>
      <c r="BE143" s="105"/>
      <c r="BF143" s="105"/>
      <c r="BG143" s="105"/>
    </row>
    <row r="145" spans="4:25" x14ac:dyDescent="0.25">
      <c r="E145" t="s">
        <v>849</v>
      </c>
      <c r="G145" s="6" t="s">
        <v>55</v>
      </c>
      <c r="H145" s="187">
        <f>IF(IFERROR(J122, 1) &gt; IFERROR(J121, 0), 0, 1)</f>
        <v>0</v>
      </c>
    </row>
    <row r="147" spans="4:25" x14ac:dyDescent="0.25">
      <c r="E147" t="s">
        <v>232</v>
      </c>
      <c r="G147" s="6" t="s">
        <v>55</v>
      </c>
      <c r="H147" s="187">
        <f t="array" ref="H147">SUM(IF(ISERROR(H20:BE142), 1))</f>
        <v>0</v>
      </c>
    </row>
    <row r="149" spans="4:25" x14ac:dyDescent="0.25">
      <c r="D149"/>
      <c r="E149" s="32" t="s">
        <v>1060</v>
      </c>
      <c r="F149" s="2"/>
    </row>
    <row r="150" spans="4:25" x14ac:dyDescent="0.25">
      <c r="D150"/>
      <c r="E150" s="88"/>
      <c r="F150" s="23" t="s">
        <v>156</v>
      </c>
      <c r="G150" s="23" t="s">
        <v>277</v>
      </c>
      <c r="H150" s="23"/>
      <c r="I150" s="23"/>
      <c r="J150" s="126">
        <f t="shared" ref="J150:Y150" si="121">(J139) * J29 * ten</f>
        <v>4194020.1575873541</v>
      </c>
      <c r="K150" s="126">
        <f t="shared" si="121"/>
        <v>118733.80104949597</v>
      </c>
      <c r="L150" s="126">
        <f t="shared" si="121"/>
        <v>1376954.6642381037</v>
      </c>
      <c r="M150" s="126">
        <f t="shared" si="121"/>
        <v>41337.655081553341</v>
      </c>
      <c r="N150" s="126">
        <f t="shared" si="121"/>
        <v>1880350.3112459646</v>
      </c>
      <c r="O150" s="126">
        <f t="shared" si="121"/>
        <v>150722.29135455872</v>
      </c>
      <c r="P150" s="126">
        <f t="shared" si="121"/>
        <v>1004610.4556041916</v>
      </c>
      <c r="Q150" s="126">
        <f t="shared" si="121"/>
        <v>58503.976571286024</v>
      </c>
      <c r="R150" s="126">
        <f t="shared" si="121"/>
        <v>0</v>
      </c>
      <c r="S150" s="126">
        <f t="shared" si="121"/>
        <v>0</v>
      </c>
      <c r="T150" s="126">
        <f t="shared" si="121"/>
        <v>0</v>
      </c>
      <c r="U150" s="126">
        <f t="shared" si="121"/>
        <v>0</v>
      </c>
      <c r="V150" s="126">
        <f t="shared" si="121"/>
        <v>0</v>
      </c>
      <c r="W150" s="126">
        <f t="shared" si="121"/>
        <v>0</v>
      </c>
      <c r="X150" s="126">
        <f t="shared" si="121"/>
        <v>0</v>
      </c>
      <c r="Y150" s="126">
        <f t="shared" si="121"/>
        <v>0</v>
      </c>
    </row>
    <row r="151" spans="4:25" x14ac:dyDescent="0.25">
      <c r="D151"/>
      <c r="E151" s="88"/>
      <c r="F151" t="s">
        <v>157</v>
      </c>
      <c r="G151" t="s">
        <v>277</v>
      </c>
      <c r="J151" s="98">
        <f t="shared" ref="J151:Y151" si="122">(J140) * J30 * ten</f>
        <v>16436154.686289998</v>
      </c>
      <c r="K151" s="98">
        <f t="shared" si="122"/>
        <v>2029385.3664446271</v>
      </c>
      <c r="L151" s="98">
        <f t="shared" si="122"/>
        <v>7333560.9681443274</v>
      </c>
      <c r="M151" s="98">
        <f t="shared" si="122"/>
        <v>193033.24351135702</v>
      </c>
      <c r="N151" s="98">
        <f t="shared" si="122"/>
        <v>9958069.078160163</v>
      </c>
      <c r="O151" s="98">
        <f t="shared" si="122"/>
        <v>780663.42539767735</v>
      </c>
      <c r="P151" s="98">
        <f t="shared" si="122"/>
        <v>5056848.8079617722</v>
      </c>
      <c r="Q151" s="98">
        <f t="shared" si="122"/>
        <v>409722.54048672062</v>
      </c>
      <c r="R151" s="98">
        <f t="shared" si="122"/>
        <v>0</v>
      </c>
      <c r="S151" s="98">
        <f t="shared" si="122"/>
        <v>0</v>
      </c>
      <c r="T151" s="98">
        <f t="shared" si="122"/>
        <v>0</v>
      </c>
      <c r="U151" s="98">
        <f t="shared" si="122"/>
        <v>0</v>
      </c>
      <c r="V151" s="98">
        <f t="shared" si="122"/>
        <v>0</v>
      </c>
      <c r="W151" s="98">
        <f t="shared" si="122"/>
        <v>0</v>
      </c>
      <c r="X151" s="98">
        <f t="shared" si="122"/>
        <v>0</v>
      </c>
      <c r="Y151" s="98">
        <f t="shared" si="122"/>
        <v>0</v>
      </c>
    </row>
    <row r="152" spans="4:25" x14ac:dyDescent="0.25">
      <c r="D152"/>
      <c r="E152" s="88"/>
      <c r="F152" t="s">
        <v>158</v>
      </c>
      <c r="G152" t="s">
        <v>277</v>
      </c>
      <c r="J152" s="98">
        <f t="shared" ref="J152:Y152" si="123">(J141) * J31 * ten</f>
        <v>14487629.76130303</v>
      </c>
      <c r="K152" s="98">
        <f t="shared" si="123"/>
        <v>3005040.0772263492</v>
      </c>
      <c r="L152" s="98">
        <f t="shared" si="123"/>
        <v>4937995.2228855928</v>
      </c>
      <c r="M152" s="98">
        <f t="shared" si="123"/>
        <v>233729.95591948804</v>
      </c>
      <c r="N152" s="98">
        <f t="shared" si="123"/>
        <v>7470096.9895570762</v>
      </c>
      <c r="O152" s="98">
        <f t="shared" si="123"/>
        <v>727222.2223045968</v>
      </c>
      <c r="P152" s="98">
        <f t="shared" si="123"/>
        <v>4676672.8533618115</v>
      </c>
      <c r="Q152" s="98">
        <f t="shared" si="123"/>
        <v>788709.43961462774</v>
      </c>
      <c r="R152" s="98">
        <f t="shared" si="123"/>
        <v>0</v>
      </c>
      <c r="S152" s="98">
        <f t="shared" si="123"/>
        <v>0</v>
      </c>
      <c r="T152" s="98">
        <f t="shared" si="123"/>
        <v>0</v>
      </c>
      <c r="U152" s="98">
        <f t="shared" si="123"/>
        <v>0</v>
      </c>
      <c r="V152" s="98">
        <f t="shared" si="123"/>
        <v>0</v>
      </c>
      <c r="W152" s="98">
        <f t="shared" si="123"/>
        <v>0</v>
      </c>
      <c r="X152" s="98">
        <f t="shared" si="123"/>
        <v>0</v>
      </c>
      <c r="Y152" s="98">
        <f t="shared" si="123"/>
        <v>0</v>
      </c>
    </row>
    <row r="153" spans="4:25" x14ac:dyDescent="0.25">
      <c r="D153"/>
      <c r="E153" s="88"/>
      <c r="F153" t="s">
        <v>159</v>
      </c>
      <c r="G153" t="s">
        <v>277</v>
      </c>
      <c r="J153" s="98">
        <f t="shared" ref="J153:Y153" si="124">(J142) * J32 * ten</f>
        <v>0</v>
      </c>
      <c r="K153" s="98">
        <f t="shared" si="124"/>
        <v>0</v>
      </c>
      <c r="L153" s="98">
        <f t="shared" si="124"/>
        <v>0</v>
      </c>
      <c r="M153" s="98">
        <f t="shared" si="124"/>
        <v>0</v>
      </c>
      <c r="N153" s="98">
        <f t="shared" si="124"/>
        <v>0</v>
      </c>
      <c r="O153" s="98">
        <f t="shared" si="124"/>
        <v>0</v>
      </c>
      <c r="P153" s="98">
        <f t="shared" si="124"/>
        <v>0</v>
      </c>
      <c r="Q153" s="98">
        <f t="shared" si="124"/>
        <v>0</v>
      </c>
      <c r="R153" s="98">
        <f t="shared" si="124"/>
        <v>0</v>
      </c>
      <c r="S153" s="98">
        <f t="shared" si="124"/>
        <v>0</v>
      </c>
      <c r="T153" s="98">
        <f t="shared" si="124"/>
        <v>0</v>
      </c>
      <c r="U153" s="98">
        <f t="shared" si="124"/>
        <v>0</v>
      </c>
      <c r="V153" s="98">
        <f t="shared" si="124"/>
        <v>0</v>
      </c>
      <c r="W153" s="98">
        <f t="shared" si="124"/>
        <v>0</v>
      </c>
      <c r="X153" s="98">
        <f t="shared" si="124"/>
        <v>0</v>
      </c>
      <c r="Y153" s="98">
        <f t="shared" si="124"/>
        <v>0</v>
      </c>
    </row>
    <row r="154" spans="4:25" x14ac:dyDescent="0.25">
      <c r="D154"/>
      <c r="E154" s="88"/>
      <c r="F154" t="s">
        <v>160</v>
      </c>
      <c r="G154" t="s">
        <v>277</v>
      </c>
      <c r="J154" s="98">
        <f t="shared" ref="J154:Y154" si="125">(J143) * J33 * ten</f>
        <v>0</v>
      </c>
      <c r="K154" s="98">
        <f t="shared" si="125"/>
        <v>0</v>
      </c>
      <c r="L154" s="98">
        <f t="shared" si="125"/>
        <v>0</v>
      </c>
      <c r="M154" s="98">
        <f t="shared" si="125"/>
        <v>0</v>
      </c>
      <c r="N154" s="98">
        <f t="shared" si="125"/>
        <v>0</v>
      </c>
      <c r="O154" s="98">
        <f t="shared" si="125"/>
        <v>0</v>
      </c>
      <c r="P154" s="98">
        <f t="shared" si="125"/>
        <v>0</v>
      </c>
      <c r="Q154" s="98">
        <f t="shared" si="125"/>
        <v>0</v>
      </c>
      <c r="R154" s="98">
        <f t="shared" si="125"/>
        <v>0</v>
      </c>
      <c r="S154" s="98">
        <f t="shared" si="125"/>
        <v>0</v>
      </c>
      <c r="T154" s="98">
        <f t="shared" si="125"/>
        <v>0</v>
      </c>
      <c r="U154" s="98">
        <f t="shared" si="125"/>
        <v>0</v>
      </c>
      <c r="V154" s="98">
        <f t="shared" si="125"/>
        <v>0</v>
      </c>
      <c r="W154" s="98">
        <f t="shared" si="125"/>
        <v>0</v>
      </c>
      <c r="X154" s="98">
        <f t="shared" si="125"/>
        <v>0</v>
      </c>
      <c r="Y154" s="98">
        <f t="shared" si="125"/>
        <v>0</v>
      </c>
    </row>
    <row r="155" spans="4:25" x14ac:dyDescent="0.25">
      <c r="D155"/>
      <c r="E155" s="88"/>
      <c r="F155" t="s">
        <v>161</v>
      </c>
      <c r="G155" t="s">
        <v>277</v>
      </c>
      <c r="J155" s="98">
        <f t="shared" ref="J155:Y155" si="126">(J144) * J34 * ten</f>
        <v>0</v>
      </c>
      <c r="K155" s="98">
        <f t="shared" si="126"/>
        <v>0</v>
      </c>
      <c r="L155" s="98">
        <f t="shared" si="126"/>
        <v>0</v>
      </c>
      <c r="M155" s="98">
        <f t="shared" si="126"/>
        <v>0</v>
      </c>
      <c r="N155" s="98">
        <f t="shared" si="126"/>
        <v>0</v>
      </c>
      <c r="O155" s="98">
        <f t="shared" si="126"/>
        <v>0</v>
      </c>
      <c r="P155" s="98">
        <f t="shared" si="126"/>
        <v>0</v>
      </c>
      <c r="Q155" s="98">
        <f t="shared" si="126"/>
        <v>0</v>
      </c>
      <c r="R155" s="98">
        <f t="shared" si="126"/>
        <v>0</v>
      </c>
      <c r="S155" s="98">
        <f t="shared" si="126"/>
        <v>0</v>
      </c>
      <c r="T155" s="98">
        <f t="shared" si="126"/>
        <v>0</v>
      </c>
      <c r="U155" s="98">
        <f t="shared" si="126"/>
        <v>0</v>
      </c>
      <c r="V155" s="98">
        <f t="shared" si="126"/>
        <v>0</v>
      </c>
      <c r="W155" s="98">
        <f t="shared" si="126"/>
        <v>0</v>
      </c>
      <c r="X155" s="98">
        <f t="shared" si="126"/>
        <v>0</v>
      </c>
      <c r="Y155" s="98">
        <f t="shared" si="126"/>
        <v>0</v>
      </c>
    </row>
    <row r="156" spans="4:25" x14ac:dyDescent="0.25">
      <c r="D156"/>
      <c r="E156" s="88"/>
      <c r="F156" s="37" t="s">
        <v>162</v>
      </c>
      <c r="G156" s="37" t="s">
        <v>277</v>
      </c>
      <c r="H156" s="37"/>
      <c r="I156" s="37"/>
      <c r="J156" s="100">
        <f t="shared" ref="J156:Y156" si="127">(J145) * J35 * ten</f>
        <v>0</v>
      </c>
      <c r="K156" s="100">
        <f t="shared" si="127"/>
        <v>0</v>
      </c>
      <c r="L156" s="100">
        <f t="shared" si="127"/>
        <v>0</v>
      </c>
      <c r="M156" s="100">
        <f t="shared" si="127"/>
        <v>0</v>
      </c>
      <c r="N156" s="100">
        <f t="shared" si="127"/>
        <v>0</v>
      </c>
      <c r="O156" s="100">
        <f t="shared" si="127"/>
        <v>0</v>
      </c>
      <c r="P156" s="100">
        <f t="shared" si="127"/>
        <v>0</v>
      </c>
      <c r="Q156" s="100">
        <f t="shared" si="127"/>
        <v>0</v>
      </c>
      <c r="R156" s="100">
        <f t="shared" si="127"/>
        <v>0</v>
      </c>
      <c r="S156" s="100">
        <f t="shared" si="127"/>
        <v>0</v>
      </c>
      <c r="T156" s="100">
        <f t="shared" si="127"/>
        <v>0</v>
      </c>
      <c r="U156" s="100">
        <f t="shared" si="127"/>
        <v>0</v>
      </c>
      <c r="V156" s="100">
        <f t="shared" si="127"/>
        <v>0</v>
      </c>
      <c r="W156" s="100">
        <f t="shared" si="127"/>
        <v>0</v>
      </c>
      <c r="X156" s="100">
        <f t="shared" si="127"/>
        <v>0</v>
      </c>
      <c r="Y156" s="100">
        <f t="shared" si="127"/>
        <v>0</v>
      </c>
    </row>
    <row r="158" spans="4:25" x14ac:dyDescent="0.25">
      <c r="E158" t="s">
        <v>1061</v>
      </c>
      <c r="G158" t="s">
        <v>277</v>
      </c>
      <c r="H158" s="89">
        <f>SUM(J150:Y156)</f>
        <v>87349767.951301724</v>
      </c>
    </row>
    <row r="160" spans="4:25" x14ac:dyDescent="0.25">
      <c r="E160" t="s">
        <v>850</v>
      </c>
      <c r="G160" t="s">
        <v>55</v>
      </c>
      <c r="H160" s="187">
        <f>IF(ABS(IFERROR(H158, 0) - H60) &lt; 10^-check_decimals, 0, 1)</f>
        <v>0</v>
      </c>
    </row>
    <row r="162" spans="2:59" x14ac:dyDescent="0.25">
      <c r="E162" t="s">
        <v>851</v>
      </c>
      <c r="G162" s="6" t="s">
        <v>55</v>
      </c>
      <c r="H162" s="103">
        <f>H145 + H147 + H160</f>
        <v>0</v>
      </c>
    </row>
    <row r="164" spans="2:59" x14ac:dyDescent="0.25">
      <c r="B164" s="30" t="s">
        <v>106</v>
      </c>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105"/>
      <c r="AC164" s="105"/>
      <c r="AD164" s="105"/>
      <c r="AE164" s="105"/>
      <c r="AF164" s="105"/>
      <c r="AG164" s="105"/>
      <c r="AH164" s="105"/>
      <c r="AI164" s="105"/>
      <c r="AJ164" s="105"/>
      <c r="AK164" s="105"/>
      <c r="AL164" s="105"/>
      <c r="AM164" s="105"/>
      <c r="AN164" s="105"/>
      <c r="AO164" s="105"/>
      <c r="AP164" s="105"/>
      <c r="AQ164" s="105"/>
      <c r="AR164" s="105"/>
      <c r="AS164" s="105"/>
      <c r="AT164" s="105"/>
      <c r="AU164" s="105"/>
      <c r="AV164" s="105"/>
      <c r="AW164" s="105"/>
      <c r="AX164" s="105"/>
      <c r="AY164" s="105"/>
      <c r="AZ164" s="105"/>
      <c r="BA164" s="105"/>
      <c r="BB164" s="105"/>
      <c r="BC164" s="105"/>
      <c r="BD164" s="105"/>
      <c r="BE164" s="105"/>
      <c r="BF164" s="105"/>
      <c r="BG164" s="105"/>
    </row>
  </sheetData>
  <sheetProtection sheet="1" objects="1" formatCells="0" formatColumns="0" formatRows="0" sort="0" autoFilter="0"/>
  <conditionalFormatting sqref="H147">
    <cfRule type="cellIs" dxfId="39" priority="13" operator="greaterThan">
      <formula>0</formula>
    </cfRule>
  </conditionalFormatting>
  <conditionalFormatting sqref="H160">
    <cfRule type="cellIs" dxfId="38" priority="12" operator="greaterThan">
      <formula>0</formula>
    </cfRule>
  </conditionalFormatting>
  <conditionalFormatting sqref="H162">
    <cfRule type="cellIs" dxfId="37" priority="11" operator="greaterThan">
      <formula>0</formula>
    </cfRule>
  </conditionalFormatting>
  <conditionalFormatting sqref="H145">
    <cfRule type="cellIs" dxfId="36" priority="10" operator="greaterThan">
      <formula>0</formula>
    </cfRule>
  </conditionalFormatting>
  <conditionalFormatting sqref="A4:I4 Z4:XFD4">
    <cfRule type="expression" dxfId="35" priority="9">
      <formula>LEFT($A$4,1) &lt;&gt; "0"</formula>
    </cfRule>
  </conditionalFormatting>
  <conditionalFormatting sqref="N4:P4">
    <cfRule type="expression" dxfId="34" priority="8">
      <formula>LEFT($A$4,1) &lt;&gt; "0"</formula>
    </cfRule>
  </conditionalFormatting>
  <conditionalFormatting sqref="L4:M4">
    <cfRule type="expression" dxfId="33" priority="7">
      <formula>LEFT($A$4,1) &lt;&gt; "0"</formula>
    </cfRule>
  </conditionalFormatting>
  <conditionalFormatting sqref="J4:K4">
    <cfRule type="expression" dxfId="32" priority="6">
      <formula>LEFT($A$4,1) &lt;&gt; "0"</formula>
    </cfRule>
  </conditionalFormatting>
  <conditionalFormatting sqref="Q4">
    <cfRule type="expression" dxfId="31" priority="5">
      <formula>LEFT($A$4,1) &lt;&gt; "0"</formula>
    </cfRule>
  </conditionalFormatting>
  <conditionalFormatting sqref="R4:S4">
    <cfRule type="expression" dxfId="30" priority="4">
      <formula>LEFT($A$4,1) &lt;&gt; "0"</formula>
    </cfRule>
  </conditionalFormatting>
  <conditionalFormatting sqref="T4:U4">
    <cfRule type="expression" dxfId="29" priority="3">
      <formula>LEFT($A$4,1) &lt;&gt; "0"</formula>
    </cfRule>
  </conditionalFormatting>
  <conditionalFormatting sqref="V4:W4">
    <cfRule type="expression" dxfId="28" priority="2">
      <formula>LEFT($A$4,1) &lt;&gt; "0"</formula>
    </cfRule>
  </conditionalFormatting>
  <conditionalFormatting sqref="X4:Y4">
    <cfRule type="expression" dxfId="27" priority="1">
      <formula>LEFT($A$4,1) &lt;&gt; "0"</formula>
    </cfRule>
  </conditionalFormatting>
  <hyperlinks>
    <hyperlink ref="B5:F5" location="'Model map'!A1" display="Click here to return to model map" xr:uid="{00000000-0004-0000-17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
    <tabColor theme="4" tint="0.59999389629810485"/>
    <pageSetUpPr fitToPage="1"/>
  </sheetPr>
  <dimension ref="A1:KO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1" width="24.5703125" hidden="1" customWidth="1"/>
    <col min="302" max="16384" width="8.5703125" hidden="1"/>
  </cols>
  <sheetData>
    <row r="1" spans="1:27" s="1" customFormat="1" x14ac:dyDescent="0.25">
      <c r="A1" s="1" t="str">
        <f ca="1">MID(CELL("filename",A1),FIND("]",CELL("filename",A1))+1,255)</f>
        <v>Fixed charge adder</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H66 &amp; IF(H66 = 1, " issue", " issues") &amp;" identified in checks on this sheet"</f>
        <v>0 issues identified in checks on this sheet</v>
      </c>
      <c r="B4" s="13"/>
      <c r="C4" s="13"/>
      <c r="D4" s="13"/>
      <c r="E4" s="13"/>
      <c r="F4" s="13"/>
      <c r="G4" s="13"/>
      <c r="H4" s="14"/>
      <c r="I4" s="14"/>
      <c r="J4" s="13"/>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1026</v>
      </c>
      <c r="E9"/>
    </row>
    <row r="10" spans="1:27" x14ac:dyDescent="0.25">
      <c r="C10" s="29" t="s">
        <v>1027</v>
      </c>
      <c r="E10"/>
    </row>
    <row r="12" spans="1:27" x14ac:dyDescent="0.25">
      <c r="B12" s="30" t="s">
        <v>1028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25">
      <c r="C14" s="29" t="s">
        <v>1029</v>
      </c>
    </row>
    <row r="16" spans="1:27" x14ac:dyDescent="0.25">
      <c r="C16" s="31" t="str">
        <f ca="1">INDEX('Version control'!$H$34:$H$58,MATCH($A$1,'Version control'!$F$34:$F$58,0),1)&amp;"-A: Inputs for fixed tariff adjustments"</f>
        <v>Section 116-A: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25">
      <c r="E18" s="88" t="s">
        <v>212</v>
      </c>
      <c r="F18" s="32"/>
    </row>
    <row r="19" spans="3:27" x14ac:dyDescent="0.25">
      <c r="E19" s="29" t="s">
        <v>1030</v>
      </c>
      <c r="F19" s="2"/>
    </row>
    <row r="20" spans="3:27" x14ac:dyDescent="0.25">
      <c r="C20" s="88"/>
      <c r="F20" s="23" t="s">
        <v>447</v>
      </c>
      <c r="G20" s="23" t="s">
        <v>212</v>
      </c>
      <c r="H20" s="286"/>
      <c r="I20" s="270"/>
      <c r="J20" s="286">
        <f>'Inputs by customer type'!J24</f>
        <v>708967.48387096729</v>
      </c>
      <c r="K20" s="286">
        <f>'Inputs by customer type'!K24</f>
        <v>70461.662878625808</v>
      </c>
      <c r="L20" s="286">
        <f>'Inputs by customer type'!L24</f>
        <v>73636.601523262332</v>
      </c>
      <c r="M20" s="286">
        <f>'Inputs by customer type'!M24</f>
        <v>2784.9059115721761</v>
      </c>
      <c r="N20" s="286">
        <f>'Inputs by customer type'!N24</f>
        <v>6682.1760353565578</v>
      </c>
      <c r="O20" s="286">
        <f>'Inputs by customer type'!O24</f>
        <v>111.16114041670782</v>
      </c>
      <c r="P20" s="286">
        <f>'Inputs by customer type'!P24</f>
        <v>692.54803916203412</v>
      </c>
      <c r="Q20" s="286">
        <f>'Inputs by customer type'!Q24</f>
        <v>2081.619285024251</v>
      </c>
      <c r="R20" s="286">
        <f>'Inputs by customer type'!R24</f>
        <v>351.61290322580641</v>
      </c>
      <c r="S20" s="286">
        <f>'Inputs by customer type'!S24</f>
        <v>1</v>
      </c>
      <c r="T20" s="286">
        <f>'Inputs by customer type'!T24</f>
        <v>775.9677419354847</v>
      </c>
      <c r="U20" s="286">
        <f>'Inputs by customer type'!U24</f>
        <v>0</v>
      </c>
      <c r="V20" s="286">
        <f>'Inputs by customer type'!V24</f>
        <v>1.9999999999999989</v>
      </c>
      <c r="W20" s="286">
        <f>'Inputs by customer type'!W24</f>
        <v>0</v>
      </c>
      <c r="X20" s="286">
        <f>'Inputs by customer type'!X24</f>
        <v>355.55640880208517</v>
      </c>
      <c r="Y20" s="286">
        <f>'Inputs by customer type'!Y24</f>
        <v>0</v>
      </c>
      <c r="Z20" s="272"/>
      <c r="AA20" s="272"/>
    </row>
    <row r="21" spans="3:27" x14ac:dyDescent="0.25">
      <c r="C21" s="88"/>
      <c r="F21" t="s">
        <v>448</v>
      </c>
      <c r="G21" t="s">
        <v>212</v>
      </c>
      <c r="H21" s="287"/>
      <c r="I21" s="272"/>
      <c r="J21" s="287">
        <f>'Inputs by customer type'!J33</f>
        <v>3276.983870967742</v>
      </c>
      <c r="K21" s="287">
        <f>'Inputs by customer type'!K33</f>
        <v>0</v>
      </c>
      <c r="L21" s="287">
        <f>'Inputs by customer type'!L33</f>
        <v>17</v>
      </c>
      <c r="M21" s="287">
        <f>'Inputs by customer type'!M33</f>
        <v>0</v>
      </c>
      <c r="N21" s="287">
        <f>'Inputs by customer type'!N33</f>
        <v>10</v>
      </c>
      <c r="O21" s="287">
        <f>'Inputs by customer type'!O33</f>
        <v>0</v>
      </c>
      <c r="P21" s="287">
        <f>'Inputs by customer type'!P33</f>
        <v>0</v>
      </c>
      <c r="Q21" s="287">
        <f>'Inputs by customer type'!Q33</f>
        <v>2</v>
      </c>
      <c r="R21" s="287">
        <f>'Inputs by customer type'!R33</f>
        <v>0</v>
      </c>
      <c r="S21" s="287">
        <f>'Inputs by customer type'!S33</f>
        <v>0</v>
      </c>
      <c r="T21" s="287">
        <f>'Inputs by customer type'!T33</f>
        <v>0</v>
      </c>
      <c r="U21" s="287">
        <f>'Inputs by customer type'!U33</f>
        <v>0</v>
      </c>
      <c r="V21" s="287">
        <f>'Inputs by customer type'!V33</f>
        <v>0</v>
      </c>
      <c r="W21" s="287">
        <f>'Inputs by customer type'!W33</f>
        <v>0</v>
      </c>
      <c r="X21" s="287">
        <f>'Inputs by customer type'!X33</f>
        <v>0</v>
      </c>
      <c r="Y21" s="287">
        <f>'Inputs by customer type'!Y33</f>
        <v>0</v>
      </c>
      <c r="Z21" s="272"/>
      <c r="AA21" s="272"/>
    </row>
    <row r="22" spans="3:27" x14ac:dyDescent="0.25">
      <c r="C22" s="88"/>
      <c r="F22" t="s">
        <v>449</v>
      </c>
      <c r="G22" t="s">
        <v>212</v>
      </c>
      <c r="H22" s="287"/>
      <c r="I22" s="272"/>
      <c r="J22" s="287">
        <f>'Inputs by customer type'!J42</f>
        <v>6568.8297368601634</v>
      </c>
      <c r="K22" s="287">
        <f>'Inputs by customer type'!K42</f>
        <v>0</v>
      </c>
      <c r="L22" s="287">
        <f>'Inputs by customer type'!L42</f>
        <v>69.01157219334236</v>
      </c>
      <c r="M22" s="287">
        <f>'Inputs by customer type'!M42</f>
        <v>0</v>
      </c>
      <c r="N22" s="287">
        <f>'Inputs by customer type'!N42</f>
        <v>8.5292258765480078</v>
      </c>
      <c r="O22" s="287">
        <f>'Inputs by customer type'!O42</f>
        <v>1</v>
      </c>
      <c r="P22" s="287">
        <f>'Inputs by customer type'!P42</f>
        <v>1</v>
      </c>
      <c r="Q22" s="287">
        <f>'Inputs by customer type'!Q42</f>
        <v>4</v>
      </c>
      <c r="R22" s="287">
        <f>'Inputs by customer type'!R42</f>
        <v>0</v>
      </c>
      <c r="S22" s="287">
        <f>'Inputs by customer type'!S42</f>
        <v>0</v>
      </c>
      <c r="T22" s="287">
        <f>'Inputs by customer type'!T42</f>
        <v>0</v>
      </c>
      <c r="U22" s="287">
        <f>'Inputs by customer type'!U42</f>
        <v>0</v>
      </c>
      <c r="V22" s="287">
        <f>'Inputs by customer type'!V42</f>
        <v>0</v>
      </c>
      <c r="W22" s="287">
        <f>'Inputs by customer type'!W42</f>
        <v>0</v>
      </c>
      <c r="X22" s="287">
        <f>'Inputs by customer type'!X42</f>
        <v>0</v>
      </c>
      <c r="Y22" s="287">
        <f>'Inputs by customer type'!Y42</f>
        <v>0</v>
      </c>
      <c r="Z22" s="272"/>
      <c r="AA22" s="272"/>
    </row>
    <row r="23" spans="3:27" x14ac:dyDescent="0.25">
      <c r="C23" s="88"/>
      <c r="F23" s="37" t="s">
        <v>1031</v>
      </c>
      <c r="G23" s="37" t="s">
        <v>212</v>
      </c>
      <c r="H23" s="215"/>
      <c r="I23" s="37"/>
      <c r="J23" s="125">
        <f>'Inputs by customer type'!J47</f>
        <v>0</v>
      </c>
      <c r="K23" s="125">
        <f>'Inputs by customer type'!K47</f>
        <v>0</v>
      </c>
      <c r="L23" s="125">
        <f>'Inputs by customer type'!L47</f>
        <v>0</v>
      </c>
      <c r="M23" s="125">
        <f>'Inputs by customer type'!M47</f>
        <v>0</v>
      </c>
      <c r="N23" s="125">
        <f>'Inputs by customer type'!N47</f>
        <v>0</v>
      </c>
      <c r="O23" s="125">
        <f>'Inputs by customer type'!O47</f>
        <v>0</v>
      </c>
      <c r="P23" s="125">
        <f>'Inputs by customer type'!P47</f>
        <v>0</v>
      </c>
      <c r="Q23" s="125">
        <f>'Inputs by customer type'!Q47</f>
        <v>0</v>
      </c>
      <c r="R23" s="125">
        <f>'Inputs by customer type'!R47</f>
        <v>0</v>
      </c>
      <c r="S23" s="125">
        <f>'Inputs by customer type'!S47</f>
        <v>0</v>
      </c>
      <c r="T23" s="125">
        <f>'Inputs by customer type'!T47</f>
        <v>0</v>
      </c>
      <c r="U23" s="125">
        <f>'Inputs by customer type'!U47</f>
        <v>0</v>
      </c>
      <c r="V23" s="125">
        <f>'Inputs by customer type'!V47</f>
        <v>0</v>
      </c>
      <c r="W23" s="125">
        <f>'Inputs by customer type'!W47</f>
        <v>0</v>
      </c>
      <c r="X23" s="125">
        <f>'Inputs by customer type'!X47</f>
        <v>0</v>
      </c>
      <c r="Y23" s="125">
        <f>'Inputs by customer type'!Y47</f>
        <v>0</v>
      </c>
    </row>
    <row r="24" spans="3:27" x14ac:dyDescent="0.25">
      <c r="C24" s="88"/>
      <c r="E24"/>
      <c r="J24" s="89"/>
      <c r="K24" s="89"/>
      <c r="L24" s="89"/>
      <c r="M24" s="89"/>
      <c r="N24" s="89"/>
      <c r="O24" s="89"/>
      <c r="P24" s="89"/>
      <c r="Q24" s="89"/>
      <c r="R24" s="89"/>
      <c r="S24" s="89"/>
      <c r="T24" s="89"/>
      <c r="U24" s="89"/>
      <c r="V24" s="89"/>
      <c r="W24" s="89"/>
      <c r="X24" s="89"/>
      <c r="Y24" s="89"/>
    </row>
    <row r="25" spans="3:27" x14ac:dyDescent="0.25">
      <c r="C25" s="88"/>
      <c r="E25" s="32" t="s">
        <v>1032</v>
      </c>
      <c r="J25" s="89"/>
      <c r="K25" s="89"/>
      <c r="L25" s="89"/>
      <c r="M25" s="89"/>
      <c r="N25" s="89"/>
      <c r="O25" s="89"/>
      <c r="P25" s="89"/>
      <c r="Q25" s="89"/>
      <c r="R25" s="89"/>
      <c r="S25" s="89"/>
      <c r="T25" s="89"/>
      <c r="U25" s="89"/>
      <c r="V25" s="89"/>
      <c r="W25" s="89"/>
      <c r="X25" s="89"/>
      <c r="Y25" s="89"/>
    </row>
    <row r="26" spans="3:27" x14ac:dyDescent="0.25">
      <c r="C26" s="88"/>
      <c r="E26"/>
      <c r="F26" s="23" t="s">
        <v>1033</v>
      </c>
      <c r="G26" s="23" t="s">
        <v>176</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25">
      <c r="C27" s="88"/>
      <c r="E27"/>
      <c r="F27" s="37" t="s">
        <v>1034</v>
      </c>
      <c r="G27" s="37" t="s">
        <v>176</v>
      </c>
      <c r="H27" s="37"/>
      <c r="I27" s="37"/>
      <c r="J27" s="215">
        <f>'Fixed inputs'!J159</f>
        <v>1</v>
      </c>
      <c r="K27" s="215">
        <f>'Fixed inputs'!K159</f>
        <v>0</v>
      </c>
      <c r="L27" s="215">
        <f>'Fixed inputs'!L159</f>
        <v>1</v>
      </c>
      <c r="M27" s="215">
        <f>'Fixed inputs'!M159</f>
        <v>0</v>
      </c>
      <c r="N27" s="215">
        <f>'Fixed inputs'!N159</f>
        <v>1</v>
      </c>
      <c r="O27" s="215">
        <f>'Fixed inputs'!O159</f>
        <v>1</v>
      </c>
      <c r="P27" s="215">
        <f>'Fixed inputs'!P159</f>
        <v>1</v>
      </c>
      <c r="Q27" s="215">
        <f>'Fixed inputs'!Q159</f>
        <v>0</v>
      </c>
      <c r="R27" s="215">
        <f>'Fixed inputs'!R159</f>
        <v>0</v>
      </c>
      <c r="S27" s="215">
        <f>'Fixed inputs'!S159</f>
        <v>0</v>
      </c>
      <c r="T27" s="215">
        <f>'Fixed inputs'!T159</f>
        <v>0</v>
      </c>
      <c r="U27" s="215">
        <f>'Fixed inputs'!U159</f>
        <v>0</v>
      </c>
      <c r="V27" s="215">
        <f>'Fixed inputs'!V159</f>
        <v>0</v>
      </c>
      <c r="W27" s="215">
        <f>'Fixed inputs'!W159</f>
        <v>0</v>
      </c>
      <c r="X27" s="215">
        <f>'Fixed inputs'!X159</f>
        <v>0</v>
      </c>
      <c r="Y27" s="215">
        <f>'Fixed inputs'!Y159</f>
        <v>0</v>
      </c>
    </row>
    <row r="28" spans="3:27" x14ac:dyDescent="0.25">
      <c r="C28" s="88"/>
      <c r="E28"/>
      <c r="J28" s="89"/>
      <c r="K28" s="89"/>
      <c r="L28" s="89"/>
      <c r="M28" s="89"/>
      <c r="N28" s="89"/>
      <c r="O28" s="89"/>
      <c r="P28" s="89"/>
      <c r="Q28" s="89"/>
      <c r="R28" s="89"/>
      <c r="S28" s="89"/>
      <c r="T28" s="89"/>
      <c r="U28" s="89"/>
      <c r="V28" s="89"/>
      <c r="W28" s="89"/>
      <c r="X28" s="89"/>
      <c r="Y28" s="89"/>
    </row>
    <row r="29" spans="3:27" x14ac:dyDescent="0.25">
      <c r="C29" s="88"/>
      <c r="E29" s="32" t="s">
        <v>1035</v>
      </c>
      <c r="J29" s="89"/>
      <c r="K29" s="89"/>
      <c r="L29" s="89"/>
      <c r="M29" s="89"/>
      <c r="N29" s="89"/>
      <c r="O29" s="89"/>
      <c r="P29" s="89"/>
      <c r="Q29" s="89"/>
      <c r="R29" s="89"/>
      <c r="S29" s="89"/>
      <c r="T29" s="89"/>
      <c r="U29" s="89"/>
      <c r="V29" s="89"/>
      <c r="W29" s="89"/>
      <c r="X29" s="89"/>
      <c r="Y29" s="89"/>
    </row>
    <row r="30" spans="3:27" x14ac:dyDescent="0.25">
      <c r="C30" s="88"/>
      <c r="E30"/>
      <c r="F30" s="23" t="s">
        <v>1033</v>
      </c>
      <c r="G30" s="23" t="s">
        <v>277</v>
      </c>
      <c r="H30" s="124">
        <f>'General inputs'!H53</f>
        <v>110973.63110334201</v>
      </c>
      <c r="J30" s="120"/>
      <c r="K30" s="120"/>
      <c r="L30" s="120"/>
      <c r="M30" s="120"/>
      <c r="N30" s="120"/>
      <c r="O30" s="120"/>
      <c r="P30" s="120"/>
      <c r="Q30" s="120"/>
      <c r="R30" s="120"/>
      <c r="S30" s="120"/>
      <c r="T30" s="120"/>
      <c r="U30" s="120"/>
      <c r="V30" s="120"/>
      <c r="W30" s="120"/>
      <c r="X30" s="120"/>
      <c r="Y30" s="120"/>
    </row>
    <row r="31" spans="3:27" x14ac:dyDescent="0.25">
      <c r="C31" s="88"/>
      <c r="E31"/>
      <c r="F31" s="37" t="s">
        <v>1034</v>
      </c>
      <c r="G31" s="37" t="s">
        <v>277</v>
      </c>
      <c r="H31" s="125">
        <f>'General inputs'!H54</f>
        <v>1324362.4650457399</v>
      </c>
      <c r="J31" s="120"/>
      <c r="K31" s="120"/>
      <c r="L31" s="120"/>
      <c r="M31" s="120"/>
      <c r="N31" s="120"/>
      <c r="O31" s="120"/>
      <c r="P31" s="120"/>
      <c r="Q31" s="120"/>
      <c r="R31" s="120"/>
      <c r="S31" s="120"/>
      <c r="T31" s="120"/>
      <c r="U31" s="120"/>
      <c r="V31" s="120"/>
      <c r="W31" s="120"/>
      <c r="X31" s="120"/>
      <c r="Y31" s="120"/>
    </row>
    <row r="33" spans="3:27" x14ac:dyDescent="0.25">
      <c r="C33" s="31" t="str">
        <f ca="1">INDEX('Version control'!$H$34:$H$58,MATCH($A$1,'Version control'!$F$34:$F$58,0),1)&amp;"-B: Calculation of fixed tariff adjustments"</f>
        <v>Section 116-B: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25">
      <c r="C34" s="88"/>
      <c r="E34"/>
      <c r="J34" s="89"/>
      <c r="K34" s="89"/>
      <c r="L34" s="89"/>
      <c r="M34" s="89"/>
      <c r="N34" s="89"/>
      <c r="O34" s="89"/>
      <c r="P34" s="89"/>
      <c r="Q34" s="89"/>
      <c r="R34" s="89"/>
      <c r="S34" s="89"/>
      <c r="T34" s="89"/>
      <c r="U34" s="89"/>
      <c r="V34" s="89"/>
      <c r="W34" s="89"/>
      <c r="X34" s="89"/>
      <c r="Y34" s="89"/>
    </row>
    <row r="35" spans="3:27" x14ac:dyDescent="0.25">
      <c r="C35" s="88"/>
      <c r="E35" s="32" t="s">
        <v>1036</v>
      </c>
      <c r="J35" s="89"/>
      <c r="K35" s="89"/>
      <c r="L35" s="89"/>
      <c r="M35" s="89"/>
      <c r="N35" s="89"/>
      <c r="O35" s="89"/>
      <c r="P35" s="89"/>
      <c r="Q35" s="89"/>
      <c r="R35" s="89"/>
      <c r="S35" s="89"/>
      <c r="T35" s="89"/>
      <c r="U35" s="89"/>
      <c r="V35" s="89"/>
      <c r="W35" s="89"/>
      <c r="X35" s="89"/>
      <c r="Y35" s="89"/>
    </row>
    <row r="36" spans="3:27" x14ac:dyDescent="0.25">
      <c r="F36" s="23" t="s">
        <v>1033</v>
      </c>
      <c r="G36" s="23" t="s">
        <v>212</v>
      </c>
      <c r="H36" s="23"/>
      <c r="I36" s="23"/>
      <c r="J36" s="158">
        <f>SUM( J$20:J$23 ) * J26</f>
        <v>718813.29747879517</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25">
      <c r="F37" s="37" t="s">
        <v>1034</v>
      </c>
      <c r="G37" s="37" t="s">
        <v>212</v>
      </c>
      <c r="H37" s="37"/>
      <c r="I37" s="37"/>
      <c r="J37" s="82">
        <f t="shared" ref="J37:Y37" si="1">SUM( J$20:J$23 ) * J27</f>
        <v>718813.29747879517</v>
      </c>
      <c r="K37" s="82">
        <f t="shared" si="1"/>
        <v>0</v>
      </c>
      <c r="L37" s="82">
        <f t="shared" si="1"/>
        <v>73722.613095455672</v>
      </c>
      <c r="M37" s="82">
        <f t="shared" si="1"/>
        <v>0</v>
      </c>
      <c r="N37" s="82">
        <f t="shared" si="1"/>
        <v>6700.7052612331054</v>
      </c>
      <c r="O37" s="82">
        <f t="shared" si="1"/>
        <v>112.16114041670782</v>
      </c>
      <c r="P37" s="82">
        <f t="shared" si="1"/>
        <v>693.54803916203412</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25">
      <c r="C38" s="88"/>
      <c r="E38"/>
      <c r="J38" s="89"/>
      <c r="K38" s="89"/>
      <c r="L38" s="89"/>
      <c r="M38" s="89"/>
      <c r="N38" s="89"/>
      <c r="O38" s="89"/>
      <c r="P38" s="89"/>
      <c r="Q38" s="89"/>
      <c r="R38" s="89"/>
      <c r="S38" s="89"/>
      <c r="T38" s="89"/>
      <c r="U38" s="89"/>
      <c r="V38" s="89"/>
      <c r="W38" s="89"/>
      <c r="X38" s="89"/>
      <c r="Y38" s="89"/>
    </row>
    <row r="39" spans="3:27" x14ac:dyDescent="0.25">
      <c r="C39" s="88"/>
      <c r="E39" s="32" t="s">
        <v>1037</v>
      </c>
      <c r="I39" t="s">
        <v>154</v>
      </c>
      <c r="J39" s="89"/>
      <c r="K39" s="89"/>
      <c r="L39" s="89"/>
      <c r="M39" s="89"/>
      <c r="N39" s="89"/>
      <c r="O39" s="89"/>
      <c r="P39" s="89"/>
      <c r="Q39" s="89"/>
      <c r="R39" s="89"/>
      <c r="S39" s="89"/>
      <c r="T39" s="89"/>
      <c r="U39" s="89"/>
      <c r="V39" s="89"/>
      <c r="W39" s="89"/>
      <c r="X39" s="89"/>
      <c r="Y39" s="89"/>
      <c r="AA39" t="s">
        <v>1073</v>
      </c>
    </row>
    <row r="40" spans="3:27" x14ac:dyDescent="0.25">
      <c r="C40" s="88"/>
      <c r="E40"/>
      <c r="F40" s="23" t="s">
        <v>1033</v>
      </c>
      <c r="G40" s="23" t="s">
        <v>270</v>
      </c>
      <c r="H40" s="335">
        <f>H30 / SUM( J36:Y36 ) * hundred / days_in_year</f>
        <v>4.2297123127104819E-2</v>
      </c>
      <c r="I40" s="14"/>
      <c r="J40" s="194"/>
      <c r="K40" s="194"/>
      <c r="L40" s="194"/>
      <c r="M40" s="194"/>
      <c r="N40" s="194"/>
      <c r="O40" s="194"/>
      <c r="P40" s="194"/>
      <c r="Q40" s="194"/>
      <c r="R40" s="194"/>
      <c r="S40" s="194"/>
      <c r="T40" s="194"/>
      <c r="U40" s="194"/>
      <c r="V40" s="194"/>
      <c r="W40" s="194"/>
      <c r="X40" s="194"/>
      <c r="Y40" s="194"/>
    </row>
    <row r="41" spans="3:27" x14ac:dyDescent="0.25">
      <c r="C41" s="88"/>
      <c r="E41"/>
      <c r="F41" s="37" t="s">
        <v>1034</v>
      </c>
      <c r="G41" s="37" t="s">
        <v>270</v>
      </c>
      <c r="H41" s="336">
        <f>H31 / SUM( J37:Y37 ) * hundred / days_in_year</f>
        <v>0.45352479509449634</v>
      </c>
      <c r="I41" s="14"/>
      <c r="J41" s="194"/>
      <c r="K41" s="194"/>
      <c r="L41" s="194"/>
      <c r="M41" s="194"/>
      <c r="N41" s="194"/>
      <c r="O41" s="194"/>
      <c r="P41" s="194"/>
      <c r="Q41" s="194"/>
      <c r="R41" s="194"/>
      <c r="S41" s="194"/>
      <c r="T41" s="194"/>
      <c r="U41" s="194"/>
      <c r="V41" s="194"/>
      <c r="W41" s="194"/>
      <c r="X41" s="194"/>
      <c r="Y41" s="194"/>
    </row>
    <row r="42" spans="3:27" x14ac:dyDescent="0.25">
      <c r="C42" s="88"/>
      <c r="E42"/>
      <c r="H42" s="14"/>
      <c r="I42" s="14"/>
      <c r="J42" s="163"/>
      <c r="K42" s="163"/>
      <c r="L42" s="163"/>
      <c r="M42" s="163"/>
      <c r="N42" s="163"/>
      <c r="O42" s="163"/>
      <c r="P42" s="163"/>
      <c r="Q42" s="163"/>
      <c r="R42" s="163"/>
      <c r="S42" s="163"/>
      <c r="T42" s="163"/>
      <c r="U42" s="163"/>
      <c r="V42" s="163"/>
      <c r="W42" s="163"/>
      <c r="X42" s="163"/>
      <c r="Y42" s="163"/>
    </row>
    <row r="43" spans="3:27" x14ac:dyDescent="0.25">
      <c r="C43" s="88"/>
      <c r="E43" s="32" t="s">
        <v>1038</v>
      </c>
      <c r="H43" s="14"/>
      <c r="I43" s="14"/>
      <c r="J43" s="163"/>
      <c r="K43" s="163"/>
      <c r="L43" s="163"/>
      <c r="M43" s="163"/>
      <c r="N43" s="163"/>
      <c r="O43" s="163"/>
      <c r="P43" s="163"/>
      <c r="Q43" s="163"/>
      <c r="R43" s="163"/>
      <c r="S43" s="163"/>
      <c r="T43" s="163"/>
      <c r="U43" s="163"/>
      <c r="V43" s="163"/>
      <c r="W43" s="163"/>
      <c r="X43" s="163"/>
      <c r="Y43" s="163"/>
    </row>
    <row r="44" spans="3:27" x14ac:dyDescent="0.25">
      <c r="C44" s="88"/>
      <c r="E44"/>
      <c r="F44" s="23" t="s">
        <v>1033</v>
      </c>
      <c r="G44" s="23" t="s">
        <v>270</v>
      </c>
      <c r="H44" s="335"/>
      <c r="I44" s="335"/>
      <c r="J44" s="335">
        <f>IF( J26 = 1, $H40, 0)</f>
        <v>4.2297123127104819E-2</v>
      </c>
      <c r="K44" s="335">
        <f t="shared" ref="K44:Y44" si="2">IF( K26 = 1, $H40, 0)</f>
        <v>0</v>
      </c>
      <c r="L44" s="335">
        <f t="shared" si="2"/>
        <v>0</v>
      </c>
      <c r="M44" s="335">
        <f t="shared" si="2"/>
        <v>0</v>
      </c>
      <c r="N44" s="335">
        <f t="shared" si="2"/>
        <v>0</v>
      </c>
      <c r="O44" s="335">
        <f t="shared" si="2"/>
        <v>0</v>
      </c>
      <c r="P44" s="335">
        <f t="shared" si="2"/>
        <v>0</v>
      </c>
      <c r="Q44" s="335">
        <f t="shared" si="2"/>
        <v>0</v>
      </c>
      <c r="R44" s="335">
        <f t="shared" si="2"/>
        <v>0</v>
      </c>
      <c r="S44" s="335">
        <f t="shared" si="2"/>
        <v>0</v>
      </c>
      <c r="T44" s="335">
        <f t="shared" si="2"/>
        <v>0</v>
      </c>
      <c r="U44" s="335">
        <f t="shared" si="2"/>
        <v>0</v>
      </c>
      <c r="V44" s="335">
        <f t="shared" si="2"/>
        <v>0</v>
      </c>
      <c r="W44" s="335">
        <f t="shared" si="2"/>
        <v>0</v>
      </c>
      <c r="X44" s="335">
        <f t="shared" si="2"/>
        <v>0</v>
      </c>
      <c r="Y44" s="335">
        <f t="shared" si="2"/>
        <v>0</v>
      </c>
    </row>
    <row r="45" spans="3:27" x14ac:dyDescent="0.25">
      <c r="C45" s="88"/>
      <c r="E45"/>
      <c r="F45" s="37" t="s">
        <v>1034</v>
      </c>
      <c r="G45" s="37" t="s">
        <v>270</v>
      </c>
      <c r="H45" s="336"/>
      <c r="I45" s="336"/>
      <c r="J45" s="336">
        <f t="shared" ref="J45:Y45" si="3">IF( J27 = 1, $H41, 0)</f>
        <v>0.45352479509449634</v>
      </c>
      <c r="K45" s="336">
        <f t="shared" si="3"/>
        <v>0</v>
      </c>
      <c r="L45" s="336">
        <f t="shared" si="3"/>
        <v>0.45352479509449634</v>
      </c>
      <c r="M45" s="336">
        <f t="shared" si="3"/>
        <v>0</v>
      </c>
      <c r="N45" s="336">
        <f t="shared" si="3"/>
        <v>0.45352479509449634</v>
      </c>
      <c r="O45" s="336">
        <f t="shared" si="3"/>
        <v>0.45352479509449634</v>
      </c>
      <c r="P45" s="336">
        <f t="shared" si="3"/>
        <v>0.45352479509449634</v>
      </c>
      <c r="Q45" s="336">
        <f t="shared" si="3"/>
        <v>0</v>
      </c>
      <c r="R45" s="336">
        <f t="shared" si="3"/>
        <v>0</v>
      </c>
      <c r="S45" s="336">
        <f t="shared" si="3"/>
        <v>0</v>
      </c>
      <c r="T45" s="336">
        <f t="shared" si="3"/>
        <v>0</v>
      </c>
      <c r="U45" s="336">
        <f t="shared" si="3"/>
        <v>0</v>
      </c>
      <c r="V45" s="336">
        <f t="shared" si="3"/>
        <v>0</v>
      </c>
      <c r="W45" s="336">
        <f t="shared" si="3"/>
        <v>0</v>
      </c>
      <c r="X45" s="336">
        <f t="shared" si="3"/>
        <v>0</v>
      </c>
      <c r="Y45" s="336">
        <f t="shared" si="3"/>
        <v>0</v>
      </c>
    </row>
    <row r="46" spans="3:27" x14ac:dyDescent="0.25">
      <c r="C46" s="88"/>
      <c r="E46"/>
      <c r="F46" s="108" t="s">
        <v>545</v>
      </c>
      <c r="G46" s="108" t="s">
        <v>270</v>
      </c>
      <c r="H46" s="220"/>
      <c r="I46" s="220"/>
      <c r="J46" s="337">
        <f xml:space="preserve"> J44 + J45</f>
        <v>0.49582191822160115</v>
      </c>
      <c r="K46" s="337">
        <f t="shared" ref="K46:Y46" si="4" xml:space="preserve"> K44 + K45</f>
        <v>0</v>
      </c>
      <c r="L46" s="337">
        <f t="shared" si="4"/>
        <v>0.45352479509449634</v>
      </c>
      <c r="M46" s="337">
        <f t="shared" si="4"/>
        <v>0</v>
      </c>
      <c r="N46" s="337">
        <f t="shared" si="4"/>
        <v>0.45352479509449634</v>
      </c>
      <c r="O46" s="337">
        <f t="shared" si="4"/>
        <v>0.45352479509449634</v>
      </c>
      <c r="P46" s="337">
        <f t="shared" si="4"/>
        <v>0.45352479509449634</v>
      </c>
      <c r="Q46" s="337">
        <f t="shared" si="4"/>
        <v>0</v>
      </c>
      <c r="R46" s="337">
        <f t="shared" si="4"/>
        <v>0</v>
      </c>
      <c r="S46" s="337">
        <f t="shared" si="4"/>
        <v>0</v>
      </c>
      <c r="T46" s="337">
        <f t="shared" si="4"/>
        <v>0</v>
      </c>
      <c r="U46" s="337">
        <f t="shared" si="4"/>
        <v>0</v>
      </c>
      <c r="V46" s="337">
        <f t="shared" si="4"/>
        <v>0</v>
      </c>
      <c r="W46" s="337">
        <f t="shared" si="4"/>
        <v>0</v>
      </c>
      <c r="X46" s="337">
        <f t="shared" si="4"/>
        <v>0</v>
      </c>
      <c r="Y46" s="337">
        <f t="shared" si="4"/>
        <v>0</v>
      </c>
    </row>
    <row r="47" spans="3:27" x14ac:dyDescent="0.25">
      <c r="C47" s="88"/>
      <c r="H47" s="14"/>
      <c r="I47" s="14"/>
      <c r="J47" s="14"/>
      <c r="K47" s="14"/>
      <c r="L47" s="14"/>
      <c r="M47" s="14"/>
      <c r="N47" s="14"/>
      <c r="O47" s="14"/>
      <c r="P47" s="14"/>
      <c r="Q47" s="14"/>
      <c r="R47" s="14"/>
      <c r="S47" s="14"/>
      <c r="T47" s="14"/>
      <c r="U47" s="14"/>
      <c r="V47" s="14"/>
      <c r="W47" s="14"/>
      <c r="X47" s="14"/>
      <c r="Y47" s="14"/>
    </row>
    <row r="48" spans="3:27" x14ac:dyDescent="0.25">
      <c r="C48" s="31" t="str">
        <f ca="1">INDEX('Version control'!$H$34:$H$58,MATCH($A$1,'Version control'!$F$34:$F$58,0),1)&amp;"-C: Calculation of fixed charge adder revenue"</f>
        <v>Section 116-C: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25">
      <c r="C49" s="88"/>
      <c r="E49"/>
      <c r="J49" s="89"/>
      <c r="K49" s="89"/>
      <c r="L49" s="89"/>
      <c r="M49" s="89"/>
      <c r="N49" s="89"/>
      <c r="O49" s="89"/>
      <c r="P49" s="89"/>
      <c r="Q49" s="89"/>
      <c r="R49" s="89"/>
      <c r="S49" s="89"/>
      <c r="T49" s="89"/>
      <c r="U49" s="89"/>
      <c r="V49" s="89"/>
      <c r="W49" s="89"/>
      <c r="X49" s="89"/>
      <c r="Y49" s="89"/>
    </row>
    <row r="50" spans="2:27" x14ac:dyDescent="0.25">
      <c r="E50" t="s">
        <v>1039</v>
      </c>
      <c r="G50" s="6" t="s">
        <v>277</v>
      </c>
      <c r="H50" s="219"/>
      <c r="I50" s="14"/>
      <c r="J50" s="219">
        <f t="shared" ref="J50:Y50" si="5">J46 / hundred * days_in_year * SUM( J20:J22 )</f>
        <v>1300872.3661968268</v>
      </c>
      <c r="K50" s="219">
        <f t="shared" si="5"/>
        <v>0</v>
      </c>
      <c r="L50" s="219">
        <f t="shared" si="5"/>
        <v>122037.87044250789</v>
      </c>
      <c r="M50" s="219">
        <f t="shared" si="5"/>
        <v>0</v>
      </c>
      <c r="N50" s="219">
        <f t="shared" si="5"/>
        <v>11092.116329151155</v>
      </c>
      <c r="O50" s="219">
        <f t="shared" si="5"/>
        <v>185.66768252144144</v>
      </c>
      <c r="P50" s="219">
        <f t="shared" si="5"/>
        <v>1148.075498074402</v>
      </c>
      <c r="Q50" s="219">
        <f t="shared" si="5"/>
        <v>0</v>
      </c>
      <c r="R50" s="219">
        <f t="shared" si="5"/>
        <v>0</v>
      </c>
      <c r="S50" s="219">
        <f t="shared" si="5"/>
        <v>0</v>
      </c>
      <c r="T50" s="219">
        <f t="shared" si="5"/>
        <v>0</v>
      </c>
      <c r="U50" s="219">
        <f t="shared" si="5"/>
        <v>0</v>
      </c>
      <c r="V50" s="219">
        <f t="shared" si="5"/>
        <v>0</v>
      </c>
      <c r="W50" s="219">
        <f t="shared" si="5"/>
        <v>0</v>
      </c>
      <c r="X50" s="219">
        <f t="shared" si="5"/>
        <v>0</v>
      </c>
      <c r="Y50" s="219">
        <f t="shared" si="5"/>
        <v>0</v>
      </c>
    </row>
    <row r="51" spans="2:27" x14ac:dyDescent="0.25">
      <c r="H51" s="14"/>
      <c r="I51" s="14"/>
      <c r="J51" s="14"/>
      <c r="K51" s="14"/>
      <c r="L51" s="14"/>
      <c r="M51" s="14"/>
      <c r="N51" s="14"/>
      <c r="O51" s="14"/>
      <c r="P51" s="14"/>
      <c r="Q51" s="14"/>
      <c r="R51" s="14"/>
      <c r="S51" s="14"/>
      <c r="T51" s="14"/>
      <c r="U51" s="14"/>
      <c r="V51" s="14"/>
      <c r="W51" s="14"/>
      <c r="X51" s="14"/>
      <c r="Y51" s="14"/>
    </row>
    <row r="52" spans="2:27" x14ac:dyDescent="0.25">
      <c r="E52" t="s">
        <v>1040</v>
      </c>
      <c r="G52" s="6" t="s">
        <v>277</v>
      </c>
      <c r="H52" s="199">
        <f>SUM( J50:Y50 )</f>
        <v>1435336.0961490816</v>
      </c>
      <c r="I52" s="14"/>
      <c r="J52" s="14"/>
      <c r="K52" s="14"/>
      <c r="L52" s="14"/>
      <c r="M52" s="14"/>
      <c r="N52" s="14"/>
      <c r="O52" s="14"/>
      <c r="P52" s="14"/>
      <c r="Q52" s="14"/>
      <c r="R52" s="14"/>
      <c r="S52" s="14"/>
      <c r="T52" s="14"/>
      <c r="U52" s="14"/>
      <c r="V52" s="14"/>
      <c r="W52" s="14"/>
      <c r="X52" s="14"/>
      <c r="Y52" s="14"/>
    </row>
    <row r="53" spans="2:27" x14ac:dyDescent="0.25">
      <c r="H53" s="14"/>
      <c r="I53" s="14"/>
      <c r="J53" s="14"/>
      <c r="K53" s="14"/>
      <c r="L53" s="14"/>
      <c r="M53" s="14"/>
      <c r="N53" s="14"/>
      <c r="O53" s="14"/>
      <c r="P53" s="14"/>
      <c r="Q53" s="14"/>
      <c r="R53" s="14"/>
      <c r="S53" s="14"/>
      <c r="T53" s="14"/>
      <c r="U53" s="14"/>
      <c r="V53" s="14"/>
      <c r="W53" s="14"/>
      <c r="X53" s="14"/>
      <c r="Y53" s="14"/>
    </row>
    <row r="54" spans="2:27" x14ac:dyDescent="0.25">
      <c r="E54" t="s">
        <v>1041</v>
      </c>
      <c r="G54" s="6" t="s">
        <v>277</v>
      </c>
      <c r="H54" s="219"/>
      <c r="I54" s="14"/>
      <c r="J54" s="219">
        <f t="shared" ref="J54:Y54" si="6">J46 / hundred * days_in_year * J23</f>
        <v>0</v>
      </c>
      <c r="K54" s="219">
        <f t="shared" si="6"/>
        <v>0</v>
      </c>
      <c r="L54" s="219">
        <f t="shared" si="6"/>
        <v>0</v>
      </c>
      <c r="M54" s="219">
        <f t="shared" si="6"/>
        <v>0</v>
      </c>
      <c r="N54" s="219">
        <f t="shared" si="6"/>
        <v>0</v>
      </c>
      <c r="O54" s="219">
        <f t="shared" si="6"/>
        <v>0</v>
      </c>
      <c r="P54" s="219">
        <f t="shared" si="6"/>
        <v>0</v>
      </c>
      <c r="Q54" s="219">
        <f t="shared" si="6"/>
        <v>0</v>
      </c>
      <c r="R54" s="219">
        <f t="shared" si="6"/>
        <v>0</v>
      </c>
      <c r="S54" s="219">
        <f t="shared" si="6"/>
        <v>0</v>
      </c>
      <c r="T54" s="219">
        <f t="shared" si="6"/>
        <v>0</v>
      </c>
      <c r="U54" s="219">
        <f t="shared" si="6"/>
        <v>0</v>
      </c>
      <c r="V54" s="219">
        <f t="shared" si="6"/>
        <v>0</v>
      </c>
      <c r="W54" s="219">
        <f t="shared" si="6"/>
        <v>0</v>
      </c>
      <c r="X54" s="219">
        <f t="shared" si="6"/>
        <v>0</v>
      </c>
      <c r="Y54" s="219">
        <f t="shared" si="6"/>
        <v>0</v>
      </c>
    </row>
    <row r="55" spans="2:27" x14ac:dyDescent="0.25">
      <c r="H55" s="14"/>
      <c r="I55" s="14"/>
      <c r="J55" s="14"/>
      <c r="K55" s="14"/>
      <c r="L55" s="14"/>
      <c r="M55" s="14"/>
      <c r="N55" s="14"/>
      <c r="O55" s="14"/>
      <c r="P55" s="14"/>
      <c r="Q55" s="14"/>
      <c r="R55" s="14"/>
      <c r="S55" s="14"/>
      <c r="T55" s="14"/>
      <c r="U55" s="14"/>
      <c r="V55" s="14"/>
      <c r="W55" s="14"/>
      <c r="X55" s="14"/>
      <c r="Y55" s="14"/>
    </row>
    <row r="56" spans="2:27" x14ac:dyDescent="0.25">
      <c r="E56" t="s">
        <v>1042</v>
      </c>
      <c r="G56" s="6" t="s">
        <v>277</v>
      </c>
      <c r="H56" s="199">
        <f>SUM( J54:Y54 )</f>
        <v>0</v>
      </c>
      <c r="I56" s="14"/>
      <c r="J56" s="14"/>
      <c r="K56" s="14"/>
      <c r="L56" s="14"/>
      <c r="M56" s="14"/>
      <c r="N56" s="14"/>
      <c r="O56" s="14"/>
      <c r="P56" s="14"/>
      <c r="Q56" s="14"/>
      <c r="R56" s="14"/>
      <c r="S56" s="14"/>
      <c r="T56" s="14"/>
      <c r="U56" s="14"/>
      <c r="V56" s="14"/>
      <c r="W56" s="14"/>
      <c r="X56" s="14"/>
      <c r="Y56" s="14"/>
    </row>
    <row r="57" spans="2:27" x14ac:dyDescent="0.25">
      <c r="H57" s="14"/>
      <c r="I57" s="14"/>
      <c r="J57" s="14"/>
      <c r="K57" s="14"/>
      <c r="L57" s="14"/>
      <c r="M57" s="14"/>
      <c r="N57" s="14"/>
      <c r="O57" s="14"/>
      <c r="P57" s="14"/>
      <c r="Q57" s="14"/>
      <c r="R57" s="14"/>
      <c r="S57" s="14"/>
      <c r="T57" s="14"/>
      <c r="U57" s="14"/>
      <c r="V57" s="14"/>
      <c r="W57" s="14"/>
      <c r="X57" s="14"/>
      <c r="Y57" s="14"/>
    </row>
    <row r="58" spans="2:27" x14ac:dyDescent="0.25">
      <c r="B58" s="30" t="s">
        <v>231</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25">
      <c r="H59" s="14"/>
      <c r="I59" s="14"/>
      <c r="J59" s="14"/>
      <c r="K59" s="14"/>
      <c r="L59" s="14"/>
      <c r="M59" s="14"/>
      <c r="N59" s="14"/>
      <c r="O59" s="14"/>
      <c r="P59" s="14"/>
      <c r="Q59" s="14"/>
      <c r="R59" s="14"/>
      <c r="S59" s="14"/>
      <c r="T59" s="14"/>
      <c r="U59" s="14"/>
      <c r="V59" s="14"/>
      <c r="W59" s="14"/>
      <c r="X59" s="14"/>
      <c r="Y59" s="14"/>
    </row>
    <row r="60" spans="2:27" x14ac:dyDescent="0.25">
      <c r="E60" t="s">
        <v>1043</v>
      </c>
      <c r="G60" s="6" t="s">
        <v>277</v>
      </c>
      <c r="H60" s="219"/>
      <c r="I60" s="14"/>
      <c r="J60" s="219">
        <f xml:space="preserve"> J50 + J54</f>
        <v>1300872.3661968268</v>
      </c>
      <c r="K60" s="219">
        <f t="shared" ref="K60:Y60" si="7" xml:space="preserve"> K50 + K54</f>
        <v>0</v>
      </c>
      <c r="L60" s="219">
        <f t="shared" si="7"/>
        <v>122037.87044250789</v>
      </c>
      <c r="M60" s="219">
        <f t="shared" si="7"/>
        <v>0</v>
      </c>
      <c r="N60" s="219">
        <f t="shared" si="7"/>
        <v>11092.116329151155</v>
      </c>
      <c r="O60" s="219">
        <f t="shared" si="7"/>
        <v>185.66768252144144</v>
      </c>
      <c r="P60" s="219">
        <f t="shared" si="7"/>
        <v>1148.075498074402</v>
      </c>
      <c r="Q60" s="219">
        <f t="shared" si="7"/>
        <v>0</v>
      </c>
      <c r="R60" s="219">
        <f t="shared" si="7"/>
        <v>0</v>
      </c>
      <c r="S60" s="219">
        <f t="shared" si="7"/>
        <v>0</v>
      </c>
      <c r="T60" s="219">
        <f t="shared" si="7"/>
        <v>0</v>
      </c>
      <c r="U60" s="219">
        <f t="shared" si="7"/>
        <v>0</v>
      </c>
      <c r="V60" s="219">
        <f t="shared" si="7"/>
        <v>0</v>
      </c>
      <c r="W60" s="219">
        <f t="shared" si="7"/>
        <v>0</v>
      </c>
      <c r="X60" s="219">
        <f t="shared" si="7"/>
        <v>0</v>
      </c>
      <c r="Y60" s="219">
        <f t="shared" si="7"/>
        <v>0</v>
      </c>
    </row>
    <row r="61" spans="2:27" x14ac:dyDescent="0.25">
      <c r="H61" s="14"/>
      <c r="I61" s="14"/>
      <c r="J61" s="14"/>
      <c r="K61" s="14"/>
      <c r="L61" s="14"/>
      <c r="M61" s="14"/>
      <c r="N61" s="14"/>
      <c r="O61" s="14"/>
      <c r="P61" s="14"/>
      <c r="Q61" s="14"/>
      <c r="R61" s="14"/>
      <c r="S61" s="14"/>
      <c r="T61" s="14"/>
      <c r="U61" s="14"/>
      <c r="V61" s="14"/>
      <c r="W61" s="14"/>
      <c r="X61" s="14"/>
      <c r="Y61" s="14"/>
    </row>
    <row r="62" spans="2:27" x14ac:dyDescent="0.25">
      <c r="E62" t="s">
        <v>1044</v>
      </c>
      <c r="G62" s="6" t="s">
        <v>277</v>
      </c>
      <c r="H62" s="89">
        <f>SUM( J60:Y60 )</f>
        <v>1435336.0961490816</v>
      </c>
      <c r="I62" s="14"/>
      <c r="J62" s="14"/>
      <c r="K62" s="14"/>
      <c r="L62" s="14"/>
      <c r="M62" s="14"/>
      <c r="N62" s="14"/>
      <c r="O62" s="14"/>
      <c r="P62" s="14"/>
      <c r="Q62" s="14"/>
      <c r="R62" s="14"/>
      <c r="S62" s="14"/>
      <c r="T62" s="14"/>
      <c r="U62" s="14"/>
      <c r="V62" s="14"/>
      <c r="W62" s="14"/>
      <c r="X62" s="14"/>
      <c r="Y62" s="14"/>
    </row>
    <row r="63" spans="2:27" x14ac:dyDescent="0.25">
      <c r="H63" s="14"/>
      <c r="I63" s="14"/>
      <c r="J63" s="14"/>
      <c r="K63" s="14"/>
      <c r="L63" s="14"/>
      <c r="M63" s="14"/>
      <c r="N63" s="14"/>
      <c r="O63" s="14"/>
      <c r="P63" s="14"/>
      <c r="Q63" s="14"/>
      <c r="R63" s="14"/>
      <c r="S63" s="14"/>
      <c r="T63" s="14"/>
      <c r="U63" s="14"/>
      <c r="V63" s="14"/>
      <c r="W63" s="14"/>
      <c r="X63" s="14"/>
      <c r="Y63" s="14"/>
    </row>
    <row r="64" spans="2:27" x14ac:dyDescent="0.25">
      <c r="E64" t="s">
        <v>1045</v>
      </c>
      <c r="G64" s="6" t="s">
        <v>55</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25">
      <c r="H65" s="14"/>
      <c r="I65" s="14"/>
      <c r="J65" s="14"/>
      <c r="K65" s="14"/>
      <c r="L65" s="14"/>
      <c r="M65" s="14"/>
      <c r="N65" s="14"/>
      <c r="O65" s="14"/>
      <c r="P65" s="14"/>
      <c r="Q65" s="14"/>
      <c r="R65" s="14"/>
      <c r="S65" s="14"/>
      <c r="T65" s="14"/>
      <c r="U65" s="14"/>
      <c r="V65" s="14"/>
      <c r="W65" s="14"/>
      <c r="X65" s="14"/>
      <c r="Y65" s="14"/>
    </row>
    <row r="66" spans="2:27" x14ac:dyDescent="0.25">
      <c r="E66" t="s">
        <v>232</v>
      </c>
      <c r="G66" s="6" t="s">
        <v>55</v>
      </c>
      <c r="H66" s="338">
        <f t="array" ref="H66">SUM( IF( ISERROR( H20:Y57 ), 1 )) + H64</f>
        <v>0</v>
      </c>
      <c r="I66" s="14"/>
      <c r="J66" s="14"/>
      <c r="K66" s="14"/>
      <c r="L66" s="14"/>
      <c r="M66" s="14"/>
      <c r="N66" s="14"/>
      <c r="O66" s="14"/>
      <c r="P66" s="14"/>
      <c r="Q66" s="14"/>
      <c r="R66" s="14"/>
      <c r="S66" s="14"/>
      <c r="T66" s="14"/>
      <c r="U66" s="14"/>
      <c r="V66" s="14"/>
      <c r="W66" s="14"/>
      <c r="X66" s="14"/>
      <c r="Y66" s="14"/>
    </row>
    <row r="67" spans="2:27" x14ac:dyDescent="0.25">
      <c r="H67" s="14"/>
      <c r="I67" s="14"/>
      <c r="J67" s="14"/>
      <c r="K67" s="14"/>
      <c r="L67" s="14"/>
      <c r="M67" s="14"/>
      <c r="N67" s="14"/>
      <c r="O67" s="14"/>
      <c r="P67" s="14"/>
      <c r="Q67" s="14"/>
      <c r="R67" s="14"/>
      <c r="S67" s="14"/>
      <c r="T67" s="14"/>
      <c r="U67" s="14"/>
      <c r="V67" s="14"/>
      <c r="W67" s="14"/>
      <c r="X67" s="14"/>
      <c r="Y67" s="14"/>
    </row>
    <row r="68" spans="2:27" x14ac:dyDescent="0.25">
      <c r="B68" s="30" t="s">
        <v>106</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25">
      <c r="H69" s="14"/>
      <c r="I69" s="14"/>
      <c r="J69" s="14"/>
      <c r="K69" s="14"/>
      <c r="L69" s="14"/>
      <c r="M69" s="14"/>
      <c r="N69" s="14"/>
      <c r="O69" s="14"/>
      <c r="P69" s="14"/>
      <c r="Q69" s="14"/>
      <c r="R69" s="14"/>
      <c r="S69" s="14"/>
      <c r="T69" s="14"/>
      <c r="U69" s="14"/>
      <c r="V69" s="14"/>
      <c r="W69" s="14"/>
      <c r="X69" s="14"/>
      <c r="Y69" s="14"/>
    </row>
    <row r="70" spans="2:27" x14ac:dyDescent="0.25">
      <c r="H70" s="14"/>
      <c r="I70" s="14"/>
      <c r="J70" s="14"/>
      <c r="K70" s="14"/>
      <c r="L70" s="14"/>
      <c r="M70" s="14"/>
      <c r="N70" s="14"/>
      <c r="O70" s="14"/>
      <c r="P70" s="14"/>
      <c r="Q70" s="14"/>
      <c r="R70" s="14"/>
      <c r="S70" s="14"/>
      <c r="T70" s="14"/>
      <c r="U70" s="14"/>
      <c r="V70" s="14"/>
      <c r="W70" s="14"/>
      <c r="X70" s="14"/>
      <c r="Y70" s="14"/>
    </row>
    <row r="71" spans="2:27" x14ac:dyDescent="0.25">
      <c r="H71" s="14"/>
      <c r="I71" s="14"/>
      <c r="J71" s="14"/>
      <c r="K71" s="14"/>
      <c r="L71" s="14"/>
      <c r="M71" s="14"/>
      <c r="N71" s="14"/>
      <c r="O71" s="14"/>
      <c r="P71" s="14"/>
      <c r="Q71" s="14"/>
      <c r="R71" s="14"/>
      <c r="S71" s="14"/>
      <c r="T71" s="14"/>
      <c r="U71" s="14"/>
      <c r="V71" s="14"/>
      <c r="W71" s="14"/>
      <c r="X71" s="14"/>
      <c r="Y71" s="14"/>
    </row>
    <row r="72" spans="2:27" x14ac:dyDescent="0.25">
      <c r="H72" s="14"/>
      <c r="I72" s="14"/>
      <c r="J72" s="14"/>
      <c r="K72" s="14"/>
      <c r="L72" s="14"/>
      <c r="M72" s="14"/>
      <c r="N72" s="14"/>
      <c r="O72" s="14"/>
      <c r="P72" s="14"/>
      <c r="Q72" s="14"/>
      <c r="R72" s="14"/>
      <c r="S72" s="14"/>
      <c r="T72" s="14"/>
      <c r="U72" s="14"/>
      <c r="V72" s="14"/>
      <c r="W72" s="14"/>
      <c r="X72" s="14"/>
      <c r="Y72" s="14"/>
    </row>
    <row r="73" spans="2:27" x14ac:dyDescent="0.25">
      <c r="H73" s="14"/>
      <c r="I73" s="14"/>
      <c r="J73" s="14"/>
      <c r="K73" s="14"/>
      <c r="L73" s="14"/>
      <c r="M73" s="14"/>
      <c r="N73" s="14"/>
      <c r="O73" s="14"/>
      <c r="P73" s="14"/>
      <c r="Q73" s="14"/>
      <c r="R73" s="14"/>
      <c r="S73" s="14"/>
      <c r="T73" s="14"/>
      <c r="U73" s="14"/>
      <c r="V73" s="14"/>
      <c r="W73" s="14"/>
      <c r="X73" s="14"/>
      <c r="Y73" s="14"/>
    </row>
    <row r="74" spans="2:27" x14ac:dyDescent="0.25">
      <c r="H74" s="14"/>
      <c r="I74" s="14"/>
      <c r="J74" s="14"/>
      <c r="K74" s="14"/>
      <c r="L74" s="14"/>
      <c r="M74" s="14"/>
      <c r="N74" s="14"/>
      <c r="O74" s="14"/>
      <c r="P74" s="14"/>
      <c r="Q74" s="14"/>
      <c r="R74" s="14"/>
      <c r="S74" s="14"/>
      <c r="T74" s="14"/>
      <c r="U74" s="14"/>
      <c r="V74" s="14"/>
      <c r="W74" s="14"/>
      <c r="X74" s="14"/>
      <c r="Y74" s="14"/>
    </row>
    <row r="75" spans="2:27" x14ac:dyDescent="0.25">
      <c r="H75" s="14"/>
      <c r="I75" s="14"/>
      <c r="J75" s="14"/>
      <c r="K75" s="14"/>
      <c r="L75" s="14"/>
      <c r="M75" s="14"/>
      <c r="N75" s="14"/>
      <c r="O75" s="14"/>
      <c r="P75" s="14"/>
      <c r="Q75" s="14"/>
      <c r="R75" s="14"/>
      <c r="S75" s="14"/>
      <c r="T75" s="14"/>
      <c r="U75" s="14"/>
      <c r="V75" s="14"/>
      <c r="W75" s="14"/>
      <c r="X75" s="14"/>
      <c r="Y75" s="14"/>
    </row>
    <row r="76" spans="2:27" x14ac:dyDescent="0.25">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H66">
    <cfRule type="cellIs" dxfId="26" priority="3" operator="greaterThan">
      <formula>0</formula>
    </cfRule>
  </conditionalFormatting>
  <conditionalFormatting sqref="A4:XFD4">
    <cfRule type="expression" dxfId="25" priority="2">
      <formula>LEFT($A$4,1) &lt;&gt; "0"</formula>
    </cfRule>
  </conditionalFormatting>
  <conditionalFormatting sqref="H64">
    <cfRule type="cellIs" dxfId="24" priority="1" operator="greaterThan">
      <formula>0</formula>
    </cfRule>
  </conditionalFormatting>
  <hyperlinks>
    <hyperlink ref="B5:F5" location="'Model map'!A1" display="Click here to return to model map" xr:uid="{00000000-0004-0000-18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tabColor theme="4" tint="0.59999389629810485"/>
    <pageSetUpPr fitToPage="1"/>
  </sheetPr>
  <dimension ref="A1:LE1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7" width="24.5703125" hidden="1" customWidth="1"/>
    <col min="318" max="16384" width="8.5703125" hidden="1"/>
  </cols>
  <sheetData>
    <row r="1" spans="1:27" s="1" customFormat="1" x14ac:dyDescent="0.25">
      <c r="A1" s="1" t="str">
        <f ca="1">MID(CELL("filename",A1),FIND("]",CELL("filename",A1))+1,255)</f>
        <v>Rounding</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H158 &amp; IF(H158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852</v>
      </c>
      <c r="E9"/>
    </row>
    <row r="10" spans="1:27" x14ac:dyDescent="0.25">
      <c r="C10" s="29" t="s">
        <v>853</v>
      </c>
      <c r="E10"/>
    </row>
    <row r="12" spans="1:27" x14ac:dyDescent="0.25">
      <c r="B12" s="30" t="s">
        <v>854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25">
      <c r="C14" s="29" t="s">
        <v>855</v>
      </c>
    </row>
    <row r="16" spans="1:27" x14ac:dyDescent="0.25">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25">
      <c r="E18" s="32" t="s">
        <v>856</v>
      </c>
      <c r="F18" s="32"/>
    </row>
    <row r="19" spans="3:27" x14ac:dyDescent="0.25">
      <c r="E19" s="29" t="s">
        <v>857</v>
      </c>
      <c r="F19" s="2"/>
    </row>
    <row r="20" spans="3:27" x14ac:dyDescent="0.25">
      <c r="C20" s="88"/>
      <c r="F20" s="23" t="s">
        <v>156</v>
      </c>
      <c r="G20" s="23" t="s">
        <v>269</v>
      </c>
      <c r="H20" s="286"/>
      <c r="I20" s="270"/>
      <c r="J20" s="286">
        <f>'Revenue matching'!J20</f>
        <v>9.8203681498151312</v>
      </c>
      <c r="K20" s="286">
        <f>'Revenue matching'!K20</f>
        <v>9.8203681498151312</v>
      </c>
      <c r="L20" s="286">
        <f>'Revenue matching'!L20</f>
        <v>10.255356168000093</v>
      </c>
      <c r="M20" s="286">
        <f>'Revenue matching'!M20</f>
        <v>10.255356168000093</v>
      </c>
      <c r="N20" s="286">
        <f>'Revenue matching'!N20</f>
        <v>7.7300298317786229</v>
      </c>
      <c r="O20" s="286">
        <f>'Revenue matching'!O20</f>
        <v>3.917424895049189</v>
      </c>
      <c r="P20" s="286">
        <f>'Revenue matching'!P20</f>
        <v>2.7417958672948952</v>
      </c>
      <c r="Q20" s="286">
        <f>'Revenue matching'!Q20</f>
        <v>22.016762373135332</v>
      </c>
      <c r="R20" s="286">
        <f>'Revenue matching'!R20</f>
        <v>-7.0400663600224984</v>
      </c>
      <c r="S20" s="286">
        <f>'Revenue matching'!S20</f>
        <v>-6.3183521781843845</v>
      </c>
      <c r="T20" s="286">
        <f>'Revenue matching'!T20</f>
        <v>-7.0400663600224984</v>
      </c>
      <c r="U20" s="286">
        <f>'Revenue matching'!U20</f>
        <v>-7.0400663600224984</v>
      </c>
      <c r="V20" s="286">
        <f>'Revenue matching'!V20</f>
        <v>-6.3183521781843845</v>
      </c>
      <c r="W20" s="286">
        <f>'Revenue matching'!W20</f>
        <v>-6.3183521781843845</v>
      </c>
      <c r="X20" s="286">
        <f>'Revenue matching'!X20</f>
        <v>-3.4601529888602931</v>
      </c>
      <c r="Y20" s="286">
        <f>'Revenue matching'!Y20</f>
        <v>-3.4601529888602931</v>
      </c>
      <c r="Z20" s="272"/>
      <c r="AA20" s="272"/>
    </row>
    <row r="21" spans="3:27" x14ac:dyDescent="0.25">
      <c r="C21" s="88"/>
      <c r="F21" t="s">
        <v>157</v>
      </c>
      <c r="G21" t="s">
        <v>269</v>
      </c>
      <c r="H21" s="287"/>
      <c r="I21" s="272"/>
      <c r="J21" s="287">
        <f>'Revenue matching'!J21</f>
        <v>1.5208162021666733</v>
      </c>
      <c r="K21" s="287">
        <f>'Revenue matching'!K21</f>
        <v>1.5208162021666733</v>
      </c>
      <c r="L21" s="287">
        <f>'Revenue matching'!L21</f>
        <v>1.5881799522534263</v>
      </c>
      <c r="M21" s="287">
        <f>'Revenue matching'!M21</f>
        <v>1.5881799522534263</v>
      </c>
      <c r="N21" s="287">
        <f>'Revenue matching'!N21</f>
        <v>1.1885514481269401</v>
      </c>
      <c r="O21" s="287">
        <f>'Revenue matching'!O21</f>
        <v>0.58481610826012864</v>
      </c>
      <c r="P21" s="287">
        <f>'Revenue matching'!P21</f>
        <v>0.39560382977467057</v>
      </c>
      <c r="Q21" s="287">
        <f>'Revenue matching'!Q21</f>
        <v>3.7741727713773781</v>
      </c>
      <c r="R21" s="287">
        <f>'Revenue matching'!R21</f>
        <v>-1.0902490437542633</v>
      </c>
      <c r="S21" s="287">
        <f>'Revenue matching'!S21</f>
        <v>-0.97545424417849347</v>
      </c>
      <c r="T21" s="287">
        <f>'Revenue matching'!T21</f>
        <v>-1.0902490437542633</v>
      </c>
      <c r="U21" s="287">
        <f>'Revenue matching'!U21</f>
        <v>-1.0902490437542633</v>
      </c>
      <c r="V21" s="287">
        <f>'Revenue matching'!V21</f>
        <v>-0.97545424417849347</v>
      </c>
      <c r="W21" s="287">
        <f>'Revenue matching'!W21</f>
        <v>-0.97545424417849347</v>
      </c>
      <c r="X21" s="287">
        <f>'Revenue matching'!X21</f>
        <v>-0.51650220466529395</v>
      </c>
      <c r="Y21" s="287">
        <f>'Revenue matching'!Y21</f>
        <v>-0.51650220466529395</v>
      </c>
      <c r="Z21" s="272"/>
      <c r="AA21" s="272"/>
    </row>
    <row r="22" spans="3:27" x14ac:dyDescent="0.25">
      <c r="C22" s="88"/>
      <c r="F22" t="s">
        <v>158</v>
      </c>
      <c r="G22" t="s">
        <v>269</v>
      </c>
      <c r="H22" s="287"/>
      <c r="I22" s="272"/>
      <c r="J22" s="287">
        <f>'Revenue matching'!J22</f>
        <v>0.69838914936034457</v>
      </c>
      <c r="K22" s="287">
        <f>'Revenue matching'!K22</f>
        <v>0.69838914936034457</v>
      </c>
      <c r="L22" s="287">
        <f>'Revenue matching'!L22</f>
        <v>0.72932392770751431</v>
      </c>
      <c r="M22" s="287">
        <f>'Revenue matching'!M22</f>
        <v>0.72932392770751431</v>
      </c>
      <c r="N22" s="287">
        <f>'Revenue matching'!N22</f>
        <v>0.54326912302024566</v>
      </c>
      <c r="O22" s="287">
        <f>'Revenue matching'!O22</f>
        <v>0.2620730222910021</v>
      </c>
      <c r="P22" s="287">
        <f>'Revenue matching'!P22</f>
        <v>0.1730603787833048</v>
      </c>
      <c r="Q22" s="287">
        <f>'Revenue matching'!Q22</f>
        <v>2.7644213867021152</v>
      </c>
      <c r="R22" s="287">
        <f>'Revenue matching'!R22</f>
        <v>-0.5006641178425727</v>
      </c>
      <c r="S22" s="287">
        <f>'Revenue matching'!S22</f>
        <v>-0.44704928923359355</v>
      </c>
      <c r="T22" s="287">
        <f>'Revenue matching'!T22</f>
        <v>-0.5006641178425727</v>
      </c>
      <c r="U22" s="287">
        <f>'Revenue matching'!U22</f>
        <v>-0.5006641178425727</v>
      </c>
      <c r="V22" s="287">
        <f>'Revenue matching'!V22</f>
        <v>-0.44704928923359355</v>
      </c>
      <c r="W22" s="287">
        <f>'Revenue matching'!W22</f>
        <v>-0.44704928923359355</v>
      </c>
      <c r="X22" s="287">
        <f>'Revenue matching'!X22</f>
        <v>-0.23144428706139836</v>
      </c>
      <c r="Y22" s="287">
        <f>'Revenue matching'!Y22</f>
        <v>-0.23144428706139836</v>
      </c>
      <c r="Z22" s="272"/>
      <c r="AA22" s="272"/>
    </row>
    <row r="23" spans="3:27" x14ac:dyDescent="0.25">
      <c r="C23" s="88"/>
      <c r="F23" t="s">
        <v>159</v>
      </c>
      <c r="G23" t="s">
        <v>270</v>
      </c>
      <c r="H23" s="51"/>
      <c r="J23" s="120">
        <f>'Revenue matching'!J23</f>
        <v>6.6175718801834673</v>
      </c>
      <c r="K23" s="120">
        <f>'Revenue matching'!K23</f>
        <v>0</v>
      </c>
      <c r="L23" s="120">
        <f>'Revenue matching'!L23</f>
        <v>9.5290668846530906</v>
      </c>
      <c r="M23" s="120">
        <f>'Revenue matching'!M23</f>
        <v>0</v>
      </c>
      <c r="N23" s="120">
        <f>'Revenue matching'!N23</f>
        <v>29.576050526927716</v>
      </c>
      <c r="O23" s="120">
        <f>'Revenue matching'!O23</f>
        <v>54.802244524365939</v>
      </c>
      <c r="P23" s="120">
        <f>'Revenue matching'!P23</f>
        <v>307.23294745941183</v>
      </c>
      <c r="Q23" s="120">
        <f>'Revenue matching'!Q23</f>
        <v>0</v>
      </c>
      <c r="R23" s="120">
        <f>'Revenue matching'!R23</f>
        <v>0</v>
      </c>
      <c r="S23" s="120">
        <f>'Revenue matching'!S23</f>
        <v>0</v>
      </c>
      <c r="T23" s="120">
        <f>'Revenue matching'!T23</f>
        <v>0</v>
      </c>
      <c r="U23" s="120">
        <f>'Revenue matching'!U23</f>
        <v>0</v>
      </c>
      <c r="V23" s="120">
        <f>'Revenue matching'!V23</f>
        <v>0</v>
      </c>
      <c r="W23" s="120">
        <f>'Revenue matching'!W23</f>
        <v>0</v>
      </c>
      <c r="X23" s="120">
        <f>'Revenue matching'!X23</f>
        <v>498.32981028380851</v>
      </c>
      <c r="Y23" s="120">
        <f>'Revenue matching'!Y23</f>
        <v>498.32981028380851</v>
      </c>
    </row>
    <row r="24" spans="3:27" x14ac:dyDescent="0.25">
      <c r="C24" s="88"/>
      <c r="F24" t="s">
        <v>160</v>
      </c>
      <c r="G24" t="s">
        <v>271</v>
      </c>
      <c r="H24" s="51"/>
      <c r="J24" s="120">
        <f>'Revenue matching'!J24</f>
        <v>0</v>
      </c>
      <c r="K24" s="120">
        <f>'Revenue matching'!K24</f>
        <v>0</v>
      </c>
      <c r="L24" s="120">
        <f>'Revenue matching'!L24</f>
        <v>0</v>
      </c>
      <c r="M24" s="120">
        <f>'Revenue matching'!M24</f>
        <v>0</v>
      </c>
      <c r="N24" s="120">
        <f>'Revenue matching'!N24</f>
        <v>5.1440159705455697</v>
      </c>
      <c r="O24" s="120">
        <f>'Revenue matching'!O24</f>
        <v>8.3306434828431062</v>
      </c>
      <c r="P24" s="120">
        <f>'Revenue matching'!P24</f>
        <v>11.113457295581</v>
      </c>
      <c r="Q24" s="120">
        <f>'Revenue matching'!Q24</f>
        <v>0</v>
      </c>
      <c r="R24" s="120">
        <f>'Revenue matching'!R24</f>
        <v>0</v>
      </c>
      <c r="S24" s="120">
        <f>'Revenue matching'!S24</f>
        <v>0</v>
      </c>
      <c r="T24" s="120">
        <f>'Revenue matching'!T24</f>
        <v>0</v>
      </c>
      <c r="U24" s="120">
        <f>'Revenue matching'!U24</f>
        <v>0</v>
      </c>
      <c r="V24" s="120">
        <f>'Revenue matching'!V24</f>
        <v>0</v>
      </c>
      <c r="W24" s="120">
        <f>'Revenue matching'!W24</f>
        <v>0</v>
      </c>
      <c r="X24" s="120">
        <f>'Revenue matching'!X24</f>
        <v>0</v>
      </c>
      <c r="Y24" s="120">
        <f>'Revenue matching'!Y24</f>
        <v>0</v>
      </c>
    </row>
    <row r="25" spans="3:27" x14ac:dyDescent="0.25">
      <c r="C25" s="88"/>
      <c r="F25" t="s">
        <v>161</v>
      </c>
      <c r="G25" t="s">
        <v>271</v>
      </c>
      <c r="H25" s="51"/>
      <c r="J25" s="120">
        <f>'Revenue matching'!J25</f>
        <v>0</v>
      </c>
      <c r="K25" s="120">
        <f>'Revenue matching'!K25</f>
        <v>0</v>
      </c>
      <c r="L25" s="120">
        <f>'Revenue matching'!L25</f>
        <v>0</v>
      </c>
      <c r="M25" s="120">
        <f>'Revenue matching'!M25</f>
        <v>0</v>
      </c>
      <c r="N25" s="120">
        <f>'Revenue matching'!N25</f>
        <v>9.1762338963144749</v>
      </c>
      <c r="O25" s="120">
        <f>'Revenue matching'!O25</f>
        <v>11.393186401103572</v>
      </c>
      <c r="P25" s="120">
        <f>'Revenue matching'!P25</f>
        <v>13.027486250063824</v>
      </c>
      <c r="Q25" s="120">
        <f>'Revenue matching'!Q25</f>
        <v>0</v>
      </c>
      <c r="R25" s="120">
        <f>'Revenue matching'!R25</f>
        <v>0</v>
      </c>
      <c r="S25" s="120">
        <f>'Revenue matching'!S25</f>
        <v>0</v>
      </c>
      <c r="T25" s="120">
        <f>'Revenue matching'!T25</f>
        <v>0</v>
      </c>
      <c r="U25" s="120">
        <f>'Revenue matching'!U25</f>
        <v>0</v>
      </c>
      <c r="V25" s="120">
        <f>'Revenue matching'!V25</f>
        <v>0</v>
      </c>
      <c r="W25" s="120">
        <f>'Revenue matching'!W25</f>
        <v>0</v>
      </c>
      <c r="X25" s="120">
        <f>'Revenue matching'!X25</f>
        <v>0</v>
      </c>
      <c r="Y25" s="120">
        <f>'Revenue matching'!Y25</f>
        <v>0</v>
      </c>
    </row>
    <row r="26" spans="3:27" x14ac:dyDescent="0.25">
      <c r="C26" s="88"/>
      <c r="F26" s="37" t="s">
        <v>162</v>
      </c>
      <c r="G26" s="37" t="s">
        <v>272</v>
      </c>
      <c r="H26" s="291"/>
      <c r="I26" s="276"/>
      <c r="J26" s="291">
        <f>'Revenue matching'!J26</f>
        <v>0</v>
      </c>
      <c r="K26" s="291">
        <f>'Revenue matching'!K26</f>
        <v>0</v>
      </c>
      <c r="L26" s="291">
        <f>'Revenue matching'!L26</f>
        <v>0</v>
      </c>
      <c r="M26" s="291">
        <f>'Revenue matching'!M26</f>
        <v>0</v>
      </c>
      <c r="N26" s="291">
        <f>'Revenue matching'!N26</f>
        <v>0.27331421440687764</v>
      </c>
      <c r="O26" s="291">
        <f>'Revenue matching'!O26</f>
        <v>0.1268234960859709</v>
      </c>
      <c r="P26" s="291">
        <f>'Revenue matching'!P26</f>
        <v>8.943027690120936E-2</v>
      </c>
      <c r="Q26" s="291">
        <f>'Revenue matching'!Q26</f>
        <v>0</v>
      </c>
      <c r="R26" s="291">
        <f>'Revenue matching'!R26</f>
        <v>0</v>
      </c>
      <c r="S26" s="291">
        <f>'Revenue matching'!S26</f>
        <v>0</v>
      </c>
      <c r="T26" s="291">
        <f>'Revenue matching'!T26</f>
        <v>0.26353316215755945</v>
      </c>
      <c r="U26" s="291">
        <f>'Revenue matching'!U26</f>
        <v>0</v>
      </c>
      <c r="V26" s="291">
        <f>'Revenue matching'!V26</f>
        <v>0.22238816388478141</v>
      </c>
      <c r="W26" s="291">
        <f>'Revenue matching'!W26</f>
        <v>0</v>
      </c>
      <c r="X26" s="291">
        <f>'Revenue matching'!X26</f>
        <v>0.20330260311142292</v>
      </c>
      <c r="Y26" s="291">
        <f>'Revenue matching'!Y26</f>
        <v>0</v>
      </c>
      <c r="Z26" s="272"/>
      <c r="AA26" s="272"/>
    </row>
    <row r="27" spans="3:27" x14ac:dyDescent="0.25">
      <c r="C27" s="88"/>
      <c r="E27"/>
      <c r="J27" s="89"/>
      <c r="K27" s="89"/>
      <c r="L27" s="89"/>
      <c r="M27" s="89"/>
      <c r="N27" s="89"/>
      <c r="O27" s="89"/>
      <c r="P27" s="89"/>
      <c r="Q27" s="89"/>
      <c r="R27" s="89"/>
      <c r="S27" s="89"/>
      <c r="T27" s="89"/>
      <c r="U27" s="89"/>
      <c r="V27" s="89"/>
      <c r="W27" s="89"/>
      <c r="X27" s="89"/>
      <c r="Y27" s="89"/>
    </row>
    <row r="28" spans="3:27" x14ac:dyDescent="0.25">
      <c r="C28" s="31" t="str">
        <f ca="1">INDEX('Version control'!$H$34:$H$57,MATCH($A$1,'Version control'!$F$34:$F$57,0),1)&amp;"-B: Adder to be applied to unit rates"</f>
        <v>Section 117-B: Adder to be applied to unit rates</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25">
      <c r="J29" s="89"/>
      <c r="K29" s="89"/>
      <c r="L29" s="89"/>
      <c r="M29" s="89"/>
      <c r="N29" s="89"/>
      <c r="O29" s="89"/>
      <c r="P29" s="89"/>
      <c r="Q29" s="89"/>
      <c r="R29" s="89"/>
      <c r="S29" s="89"/>
      <c r="T29" s="89"/>
      <c r="U29" s="89"/>
      <c r="V29" s="89"/>
      <c r="W29" s="89"/>
      <c r="X29" s="89"/>
      <c r="Y29" s="89"/>
    </row>
    <row r="30" spans="3:27" x14ac:dyDescent="0.25">
      <c r="E30" s="88" t="s">
        <v>843</v>
      </c>
      <c r="J30" s="89"/>
      <c r="K30" s="89"/>
      <c r="L30" s="89"/>
      <c r="M30" s="89"/>
      <c r="N30" s="89"/>
      <c r="O30" s="89"/>
      <c r="P30" s="89"/>
      <c r="Q30" s="89"/>
      <c r="R30" s="89"/>
      <c r="S30" s="89"/>
      <c r="T30" s="89"/>
      <c r="U30" s="89"/>
      <c r="V30" s="89"/>
      <c r="W30" s="89"/>
      <c r="X30" s="89"/>
      <c r="Y30" s="89"/>
    </row>
    <row r="31" spans="3:27" x14ac:dyDescent="0.25">
      <c r="E31" s="29" t="s">
        <v>858</v>
      </c>
      <c r="J31" s="89"/>
      <c r="K31" s="89"/>
      <c r="L31" s="89"/>
      <c r="M31" s="89"/>
      <c r="N31" s="89"/>
      <c r="O31" s="89"/>
      <c r="P31" s="89"/>
      <c r="Q31" s="89"/>
      <c r="R31" s="89"/>
      <c r="S31" s="89"/>
      <c r="T31" s="89"/>
      <c r="U31" s="89"/>
      <c r="V31" s="89"/>
      <c r="W31" s="89"/>
      <c r="X31" s="89"/>
      <c r="Y31" s="89"/>
    </row>
    <row r="32" spans="3:27" x14ac:dyDescent="0.25">
      <c r="E32" s="88"/>
      <c r="F32" s="23" t="s">
        <v>156</v>
      </c>
      <c r="G32" s="23" t="s">
        <v>269</v>
      </c>
      <c r="H32" s="286"/>
      <c r="I32" s="270"/>
      <c r="J32" s="286">
        <f>'Revenue matching'!J139</f>
        <v>1.3449616736720098</v>
      </c>
      <c r="K32" s="286">
        <f>'Revenue matching'!K139</f>
        <v>1.3449616736720098</v>
      </c>
      <c r="L32" s="286">
        <f>'Revenue matching'!L139</f>
        <v>1.3449616736720098</v>
      </c>
      <c r="M32" s="286">
        <f>'Revenue matching'!M139</f>
        <v>1.3449616736720098</v>
      </c>
      <c r="N32" s="286">
        <f>'Revenue matching'!N139</f>
        <v>1.3449616736720098</v>
      </c>
      <c r="O32" s="286">
        <f>'Revenue matching'!O139</f>
        <v>1.3449616736720098</v>
      </c>
      <c r="P32" s="286">
        <f>'Revenue matching'!P139</f>
        <v>1.3449616736720098</v>
      </c>
      <c r="Q32" s="286">
        <f>'Revenue matching'!Q139</f>
        <v>1.3449616736720098</v>
      </c>
      <c r="R32" s="286">
        <f>'Revenue matching'!R139</f>
        <v>0</v>
      </c>
      <c r="S32" s="286">
        <f>'Revenue matching'!S139</f>
        <v>0</v>
      </c>
      <c r="T32" s="286">
        <f>'Revenue matching'!T139</f>
        <v>0</v>
      </c>
      <c r="U32" s="286">
        <f>'Revenue matching'!U139</f>
        <v>0</v>
      </c>
      <c r="V32" s="286">
        <f>'Revenue matching'!V139</f>
        <v>0</v>
      </c>
      <c r="W32" s="286">
        <f>'Revenue matching'!W139</f>
        <v>0</v>
      </c>
      <c r="X32" s="286">
        <f>'Revenue matching'!X139</f>
        <v>0</v>
      </c>
      <c r="Y32" s="286">
        <f>'Revenue matching'!Y139</f>
        <v>0</v>
      </c>
      <c r="Z32" s="272"/>
      <c r="AA32" s="272"/>
    </row>
    <row r="33" spans="3:27" x14ac:dyDescent="0.25">
      <c r="E33" s="88"/>
      <c r="F33" t="s">
        <v>157</v>
      </c>
      <c r="G33" t="s">
        <v>269</v>
      </c>
      <c r="H33" s="287"/>
      <c r="I33" s="272"/>
      <c r="J33" s="287">
        <f>'Revenue matching'!J140</f>
        <v>1.3449616736720098</v>
      </c>
      <c r="K33" s="287">
        <f>'Revenue matching'!K140</f>
        <v>1.3449616736720098</v>
      </c>
      <c r="L33" s="287">
        <f>'Revenue matching'!L140</f>
        <v>1.3449616736720098</v>
      </c>
      <c r="M33" s="287">
        <f>'Revenue matching'!M140</f>
        <v>1.3449616736720098</v>
      </c>
      <c r="N33" s="287">
        <f>'Revenue matching'!N140</f>
        <v>1.3449616736720098</v>
      </c>
      <c r="O33" s="287">
        <f>'Revenue matching'!O140</f>
        <v>1.3449616736720098</v>
      </c>
      <c r="P33" s="287">
        <f>'Revenue matching'!P140</f>
        <v>1.3449616736720098</v>
      </c>
      <c r="Q33" s="287">
        <f>'Revenue matching'!Q140</f>
        <v>1.3449616736720098</v>
      </c>
      <c r="R33" s="287">
        <f>'Revenue matching'!R140</f>
        <v>0</v>
      </c>
      <c r="S33" s="287">
        <f>'Revenue matching'!S140</f>
        <v>0</v>
      </c>
      <c r="T33" s="287">
        <f>'Revenue matching'!T140</f>
        <v>0</v>
      </c>
      <c r="U33" s="287">
        <f>'Revenue matching'!U140</f>
        <v>0</v>
      </c>
      <c r="V33" s="287">
        <f>'Revenue matching'!V140</f>
        <v>0</v>
      </c>
      <c r="W33" s="287">
        <f>'Revenue matching'!W140</f>
        <v>0</v>
      </c>
      <c r="X33" s="287">
        <f>'Revenue matching'!X140</f>
        <v>0</v>
      </c>
      <c r="Y33" s="287">
        <f>'Revenue matching'!Y140</f>
        <v>0</v>
      </c>
      <c r="Z33" s="272"/>
      <c r="AA33" s="272"/>
    </row>
    <row r="34" spans="3:27" x14ac:dyDescent="0.25">
      <c r="E34" s="88"/>
      <c r="F34" t="s">
        <v>158</v>
      </c>
      <c r="G34" t="s">
        <v>269</v>
      </c>
      <c r="H34" s="287"/>
      <c r="I34" s="272"/>
      <c r="J34" s="287">
        <f>'Revenue matching'!J141</f>
        <v>1.3449616736720098</v>
      </c>
      <c r="K34" s="287">
        <f>'Revenue matching'!K141</f>
        <v>1.3449616736720098</v>
      </c>
      <c r="L34" s="287">
        <f>'Revenue matching'!L141</f>
        <v>1.3449616736720098</v>
      </c>
      <c r="M34" s="287">
        <f>'Revenue matching'!M141</f>
        <v>1.3449616736720098</v>
      </c>
      <c r="N34" s="287">
        <f>'Revenue matching'!N141</f>
        <v>1.3449616736720098</v>
      </c>
      <c r="O34" s="287">
        <f>'Revenue matching'!O141</f>
        <v>1.3449616736720098</v>
      </c>
      <c r="P34" s="287">
        <f>'Revenue matching'!P141</f>
        <v>1.3449616736720098</v>
      </c>
      <c r="Q34" s="287">
        <f>'Revenue matching'!Q141</f>
        <v>1.3449616736720098</v>
      </c>
      <c r="R34" s="287">
        <f>'Revenue matching'!R141</f>
        <v>0</v>
      </c>
      <c r="S34" s="287">
        <f>'Revenue matching'!S141</f>
        <v>0</v>
      </c>
      <c r="T34" s="287">
        <f>'Revenue matching'!T141</f>
        <v>0</v>
      </c>
      <c r="U34" s="287">
        <f>'Revenue matching'!U141</f>
        <v>0</v>
      </c>
      <c r="V34" s="287">
        <f>'Revenue matching'!V141</f>
        <v>0</v>
      </c>
      <c r="W34" s="287">
        <f>'Revenue matching'!W141</f>
        <v>0</v>
      </c>
      <c r="X34" s="287">
        <f>'Revenue matching'!X141</f>
        <v>0</v>
      </c>
      <c r="Y34" s="287">
        <f>'Revenue matching'!Y141</f>
        <v>0</v>
      </c>
      <c r="Z34" s="272"/>
      <c r="AA34" s="272"/>
    </row>
    <row r="35" spans="3:27" x14ac:dyDescent="0.25">
      <c r="E35" s="88"/>
      <c r="F35" t="s">
        <v>159</v>
      </c>
      <c r="G35" t="s">
        <v>270</v>
      </c>
      <c r="H35" s="51"/>
      <c r="J35" s="79"/>
      <c r="K35" s="79"/>
      <c r="L35" s="79"/>
      <c r="M35" s="79"/>
      <c r="N35" s="79"/>
      <c r="O35" s="79"/>
      <c r="P35" s="79"/>
      <c r="Q35" s="79"/>
      <c r="R35" s="79"/>
      <c r="S35" s="79"/>
      <c r="T35" s="79"/>
      <c r="U35" s="79"/>
      <c r="V35" s="79"/>
      <c r="W35" s="79"/>
      <c r="X35" s="79"/>
      <c r="Y35" s="79"/>
    </row>
    <row r="36" spans="3:27" x14ac:dyDescent="0.25">
      <c r="E36" s="88"/>
      <c r="F36" t="s">
        <v>160</v>
      </c>
      <c r="G36" t="s">
        <v>271</v>
      </c>
      <c r="H36" s="51"/>
      <c r="J36" s="79"/>
      <c r="K36" s="79"/>
      <c r="L36" s="79"/>
      <c r="M36" s="79"/>
      <c r="N36" s="79"/>
      <c r="O36" s="79"/>
      <c r="P36" s="79"/>
      <c r="Q36" s="79"/>
      <c r="R36" s="79"/>
      <c r="S36" s="79"/>
      <c r="T36" s="79"/>
      <c r="U36" s="79"/>
      <c r="V36" s="79"/>
      <c r="W36" s="79"/>
      <c r="X36" s="79"/>
      <c r="Y36" s="79"/>
    </row>
    <row r="37" spans="3:27" x14ac:dyDescent="0.25">
      <c r="E37" s="88"/>
      <c r="F37" t="s">
        <v>161</v>
      </c>
      <c r="G37" t="s">
        <v>271</v>
      </c>
      <c r="H37" s="51"/>
      <c r="J37" s="79"/>
      <c r="K37" s="79"/>
      <c r="L37" s="79"/>
      <c r="M37" s="79"/>
      <c r="N37" s="79"/>
      <c r="O37" s="79"/>
      <c r="P37" s="79"/>
      <c r="Q37" s="79"/>
      <c r="R37" s="79"/>
      <c r="S37" s="79"/>
      <c r="T37" s="79"/>
      <c r="U37" s="79"/>
      <c r="V37" s="79"/>
      <c r="W37" s="79"/>
      <c r="X37" s="79"/>
      <c r="Y37" s="79"/>
    </row>
    <row r="38" spans="3:27" x14ac:dyDescent="0.25">
      <c r="E38" s="88"/>
      <c r="F38" s="37" t="s">
        <v>162</v>
      </c>
      <c r="G38" s="37" t="s">
        <v>272</v>
      </c>
      <c r="H38" s="291"/>
      <c r="I38" s="276"/>
      <c r="J38" s="277"/>
      <c r="K38" s="277"/>
      <c r="L38" s="277"/>
      <c r="M38" s="277"/>
      <c r="N38" s="277"/>
      <c r="O38" s="277"/>
      <c r="P38" s="277"/>
      <c r="Q38" s="277"/>
      <c r="R38" s="277"/>
      <c r="S38" s="277"/>
      <c r="T38" s="277"/>
      <c r="U38" s="277"/>
      <c r="V38" s="277"/>
      <c r="W38" s="277"/>
      <c r="X38" s="277"/>
      <c r="Y38" s="277"/>
      <c r="Z38" s="272"/>
      <c r="AA38" s="272"/>
    </row>
    <row r="39" spans="3:27" x14ac:dyDescent="0.25">
      <c r="D39" s="88"/>
      <c r="E39"/>
    </row>
    <row r="40" spans="3:27" x14ac:dyDescent="0.25">
      <c r="C40" s="31" t="str">
        <f ca="1">INDEX('Version control'!$H$34:$H$57,MATCH($A$1,'Version control'!$F$34:$F$57,0),1)&amp;"-C: Adder to be applied to fixed charge"</f>
        <v>Section 117-C: Adder to be applied to fixed charge</v>
      </c>
      <c r="D40" s="31"/>
      <c r="E40" s="31"/>
      <c r="F40" s="31"/>
      <c r="G40" s="31"/>
      <c r="H40" s="31"/>
      <c r="I40" s="31"/>
      <c r="J40" s="31"/>
      <c r="K40" s="31"/>
      <c r="L40" s="31"/>
      <c r="M40" s="31"/>
      <c r="N40" s="31"/>
      <c r="O40" s="31"/>
      <c r="P40" s="31"/>
      <c r="Q40" s="31"/>
      <c r="R40" s="31"/>
      <c r="S40" s="31"/>
      <c r="T40" s="31"/>
      <c r="U40" s="31"/>
      <c r="V40" s="31"/>
      <c r="W40" s="31"/>
      <c r="X40" s="31"/>
      <c r="Y40" s="31"/>
    </row>
    <row r="42" spans="3:27" x14ac:dyDescent="0.25">
      <c r="E42" s="88" t="s">
        <v>1050</v>
      </c>
    </row>
    <row r="43" spans="3:27" x14ac:dyDescent="0.25">
      <c r="E43" s="29" t="s">
        <v>1051</v>
      </c>
    </row>
    <row r="44" spans="3:27" x14ac:dyDescent="0.25">
      <c r="E44" s="88"/>
      <c r="F44" s="23" t="s">
        <v>156</v>
      </c>
      <c r="G44" s="23" t="s">
        <v>269</v>
      </c>
      <c r="H44" s="286"/>
      <c r="I44" s="270"/>
      <c r="J44" s="83"/>
      <c r="K44" s="83"/>
      <c r="L44" s="83"/>
      <c r="M44" s="83"/>
      <c r="N44" s="83"/>
      <c r="O44" s="83"/>
      <c r="P44" s="83"/>
      <c r="Q44" s="83"/>
      <c r="R44" s="83"/>
      <c r="S44" s="83"/>
      <c r="T44" s="83"/>
      <c r="U44" s="83"/>
      <c r="V44" s="83"/>
      <c r="W44" s="83"/>
      <c r="X44" s="83"/>
      <c r="Y44" s="83"/>
    </row>
    <row r="45" spans="3:27" x14ac:dyDescent="0.25">
      <c r="E45" s="88"/>
      <c r="F45" t="s">
        <v>157</v>
      </c>
      <c r="G45" t="s">
        <v>269</v>
      </c>
      <c r="H45" s="287"/>
      <c r="I45" s="272"/>
      <c r="J45" s="79"/>
      <c r="K45" s="79"/>
      <c r="L45" s="79"/>
      <c r="M45" s="79"/>
      <c r="N45" s="79"/>
      <c r="O45" s="79"/>
      <c r="P45" s="79"/>
      <c r="Q45" s="79"/>
      <c r="R45" s="79"/>
      <c r="S45" s="79"/>
      <c r="T45" s="79"/>
      <c r="U45" s="79"/>
      <c r="V45" s="79"/>
      <c r="W45" s="79"/>
      <c r="X45" s="79"/>
      <c r="Y45" s="79"/>
    </row>
    <row r="46" spans="3:27" x14ac:dyDescent="0.25">
      <c r="E46" s="88"/>
      <c r="F46" t="s">
        <v>158</v>
      </c>
      <c r="G46" t="s">
        <v>269</v>
      </c>
      <c r="H46" s="287"/>
      <c r="I46" s="272"/>
      <c r="J46" s="79"/>
      <c r="K46" s="79"/>
      <c r="L46" s="79"/>
      <c r="M46" s="79"/>
      <c r="N46" s="79"/>
      <c r="O46" s="79"/>
      <c r="P46" s="79"/>
      <c r="Q46" s="79"/>
      <c r="R46" s="79"/>
      <c r="S46" s="79"/>
      <c r="T46" s="79"/>
      <c r="U46" s="79"/>
      <c r="V46" s="79"/>
      <c r="W46" s="79"/>
      <c r="X46" s="79"/>
      <c r="Y46" s="79"/>
    </row>
    <row r="47" spans="3:27" x14ac:dyDescent="0.25">
      <c r="E47" s="88"/>
      <c r="F47" t="s">
        <v>159</v>
      </c>
      <c r="G47" t="s">
        <v>270</v>
      </c>
      <c r="H47" s="51"/>
      <c r="J47" s="120">
        <f>'Fixed charge adder'!J46</f>
        <v>0.49582191822160115</v>
      </c>
      <c r="K47" s="120">
        <f>'Fixed charge adder'!K46</f>
        <v>0</v>
      </c>
      <c r="L47" s="120">
        <f>'Fixed charge adder'!L46</f>
        <v>0.45352479509449634</v>
      </c>
      <c r="M47" s="120">
        <f>'Fixed charge adder'!M46</f>
        <v>0</v>
      </c>
      <c r="N47" s="120">
        <f>'Fixed charge adder'!N46</f>
        <v>0.45352479509449634</v>
      </c>
      <c r="O47" s="120">
        <f>'Fixed charge adder'!O46</f>
        <v>0.45352479509449634</v>
      </c>
      <c r="P47" s="120">
        <f>'Fixed charge adder'!P46</f>
        <v>0.45352479509449634</v>
      </c>
      <c r="Q47" s="120">
        <f>'Fixed charge adder'!Q46</f>
        <v>0</v>
      </c>
      <c r="R47" s="120">
        <f>'Fixed charge adder'!R46</f>
        <v>0</v>
      </c>
      <c r="S47" s="120">
        <f>'Fixed charge adder'!S46</f>
        <v>0</v>
      </c>
      <c r="T47" s="120">
        <f>'Fixed charge adder'!T46</f>
        <v>0</v>
      </c>
      <c r="U47" s="120">
        <f>'Fixed charge adder'!U46</f>
        <v>0</v>
      </c>
      <c r="V47" s="120">
        <f>'Fixed charge adder'!V46</f>
        <v>0</v>
      </c>
      <c r="W47" s="120">
        <f>'Fixed charge adder'!W46</f>
        <v>0</v>
      </c>
      <c r="X47" s="120">
        <f>'Fixed charge adder'!X46</f>
        <v>0</v>
      </c>
      <c r="Y47" s="120">
        <f>'Fixed charge adder'!Y46</f>
        <v>0</v>
      </c>
    </row>
    <row r="48" spans="3:27" x14ac:dyDescent="0.25">
      <c r="E48" s="88"/>
      <c r="F48" t="s">
        <v>160</v>
      </c>
      <c r="G48" t="s">
        <v>271</v>
      </c>
      <c r="H48" s="51"/>
      <c r="J48" s="79"/>
      <c r="K48" s="79"/>
      <c r="L48" s="79"/>
      <c r="M48" s="79"/>
      <c r="N48" s="79"/>
      <c r="O48" s="79"/>
      <c r="P48" s="79"/>
      <c r="Q48" s="79"/>
      <c r="R48" s="79"/>
      <c r="S48" s="79"/>
      <c r="T48" s="79"/>
      <c r="U48" s="79"/>
      <c r="V48" s="79"/>
      <c r="W48" s="79"/>
      <c r="X48" s="79"/>
      <c r="Y48" s="79"/>
    </row>
    <row r="49" spans="3:27" x14ac:dyDescent="0.25">
      <c r="E49" s="88"/>
      <c r="F49" t="s">
        <v>161</v>
      </c>
      <c r="G49" t="s">
        <v>271</v>
      </c>
      <c r="H49" s="51"/>
      <c r="J49" s="79"/>
      <c r="K49" s="79"/>
      <c r="L49" s="79"/>
      <c r="M49" s="79"/>
      <c r="N49" s="79"/>
      <c r="O49" s="79"/>
      <c r="P49" s="79"/>
      <c r="Q49" s="79"/>
      <c r="R49" s="79"/>
      <c r="S49" s="79"/>
      <c r="T49" s="79"/>
      <c r="U49" s="79"/>
      <c r="V49" s="79"/>
      <c r="W49" s="79"/>
      <c r="X49" s="79"/>
      <c r="Y49" s="79"/>
    </row>
    <row r="50" spans="3:27" x14ac:dyDescent="0.25">
      <c r="E50" s="88"/>
      <c r="F50" s="37" t="s">
        <v>162</v>
      </c>
      <c r="G50" s="37" t="s">
        <v>272</v>
      </c>
      <c r="H50" s="291"/>
      <c r="I50" s="276"/>
      <c r="J50" s="277"/>
      <c r="K50" s="277"/>
      <c r="L50" s="277"/>
      <c r="M50" s="277"/>
      <c r="N50" s="277"/>
      <c r="O50" s="277"/>
      <c r="P50" s="277"/>
      <c r="Q50" s="277"/>
      <c r="R50" s="277"/>
      <c r="S50" s="277"/>
      <c r="T50" s="277"/>
      <c r="U50" s="277"/>
      <c r="V50" s="277"/>
      <c r="W50" s="277"/>
      <c r="X50" s="277"/>
      <c r="Y50" s="277"/>
    </row>
    <row r="51" spans="3:27" x14ac:dyDescent="0.25">
      <c r="D51" s="88"/>
      <c r="E51"/>
    </row>
    <row r="52" spans="3:27" x14ac:dyDescent="0.25">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3:27" x14ac:dyDescent="0.25">
      <c r="D54"/>
      <c r="E54" s="88" t="s">
        <v>859</v>
      </c>
      <c r="I54" t="s">
        <v>154</v>
      </c>
      <c r="AA54" t="s">
        <v>428</v>
      </c>
    </row>
    <row r="55" spans="3:27" x14ac:dyDescent="0.25">
      <c r="D55"/>
      <c r="E55" s="88"/>
      <c r="F55" s="23" t="s">
        <v>156</v>
      </c>
      <c r="G55" s="23" t="s">
        <v>167</v>
      </c>
      <c r="H55" s="174"/>
      <c r="I55" s="23"/>
      <c r="J55" s="107">
        <f>'Volume adjustments'!J$62</f>
        <v>0.29479317285654288</v>
      </c>
      <c r="K55" s="107">
        <f>'Volume adjustments'!K$62</f>
        <v>0.29479317285654288</v>
      </c>
      <c r="L55" s="107">
        <f>'Volume adjustments'!L$62</f>
        <v>0.29479317285654288</v>
      </c>
      <c r="M55" s="107">
        <f>'Volume adjustments'!M$62</f>
        <v>0.29479317285654288</v>
      </c>
      <c r="N55" s="107">
        <f>'Volume adjustments'!N$62</f>
        <v>0.29479317285654288</v>
      </c>
      <c r="O55" s="107">
        <f>'Volume adjustments'!O$62</f>
        <v>0</v>
      </c>
      <c r="P55" s="107">
        <f>'Volume adjustments'!P$62</f>
        <v>0</v>
      </c>
      <c r="Q55" s="107">
        <f>'Volume adjustments'!Q$62</f>
        <v>0.29479317285654288</v>
      </c>
      <c r="R55" s="107">
        <f>'Volume adjustments'!R$62</f>
        <v>0</v>
      </c>
      <c r="S55" s="107">
        <f>'Volume adjustments'!S$62</f>
        <v>0</v>
      </c>
      <c r="T55" s="107">
        <f>'Volume adjustments'!T$62</f>
        <v>0</v>
      </c>
      <c r="U55" s="107">
        <f>'Volume adjustments'!U$62</f>
        <v>0</v>
      </c>
      <c r="V55" s="107">
        <f>'Volume adjustments'!V$62</f>
        <v>0</v>
      </c>
      <c r="W55" s="107">
        <f>'Volume adjustments'!W$62</f>
        <v>0</v>
      </c>
      <c r="X55" s="107">
        <f>'Volume adjustments'!X$62</f>
        <v>0</v>
      </c>
      <c r="Y55" s="107">
        <f>'Volume adjustments'!Y$62</f>
        <v>0</v>
      </c>
    </row>
    <row r="56" spans="3:27" x14ac:dyDescent="0.25">
      <c r="D56"/>
      <c r="E56" s="88"/>
      <c r="F56" t="s">
        <v>157</v>
      </c>
      <c r="G56" t="s">
        <v>167</v>
      </c>
      <c r="H56" s="51"/>
      <c r="J56" s="25">
        <f>'Volume adjustments'!J$73</f>
        <v>0.29479317285654288</v>
      </c>
      <c r="K56" s="25">
        <f>'Volume adjustments'!K$73</f>
        <v>0.29479317285654288</v>
      </c>
      <c r="L56" s="25">
        <f>'Volume adjustments'!L$73</f>
        <v>0.29479317285654288</v>
      </c>
      <c r="M56" s="25">
        <f>'Volume adjustments'!M$73</f>
        <v>0.29479317285654288</v>
      </c>
      <c r="N56" s="25">
        <f>'Volume adjustments'!N$73</f>
        <v>0.29479317285654288</v>
      </c>
      <c r="O56" s="25">
        <f>'Volume adjustments'!O$73</f>
        <v>0</v>
      </c>
      <c r="P56" s="25">
        <f>'Volume adjustments'!P$73</f>
        <v>0</v>
      </c>
      <c r="Q56" s="25">
        <f>'Volume adjustments'!Q$73</f>
        <v>0.29479317285654288</v>
      </c>
      <c r="R56" s="25">
        <f>'Volume adjustments'!R$73</f>
        <v>0</v>
      </c>
      <c r="S56" s="25">
        <f>'Volume adjustments'!S$73</f>
        <v>0</v>
      </c>
      <c r="T56" s="25">
        <f>'Volume adjustments'!T$73</f>
        <v>0</v>
      </c>
      <c r="U56" s="25">
        <f>'Volume adjustments'!U$73</f>
        <v>0</v>
      </c>
      <c r="V56" s="25">
        <f>'Volume adjustments'!V$73</f>
        <v>0</v>
      </c>
      <c r="W56" s="25">
        <f>'Volume adjustments'!W$73</f>
        <v>0</v>
      </c>
      <c r="X56" s="25">
        <f>'Volume adjustments'!X$73</f>
        <v>0</v>
      </c>
      <c r="Y56" s="25">
        <f>'Volume adjustments'!Y$73</f>
        <v>0</v>
      </c>
    </row>
    <row r="57" spans="3:27" x14ac:dyDescent="0.25">
      <c r="D57"/>
      <c r="E57" s="88"/>
      <c r="F57" t="s">
        <v>158</v>
      </c>
      <c r="G57" t="s">
        <v>167</v>
      </c>
      <c r="H57" s="51"/>
      <c r="J57" s="25">
        <f>'Volume adjustments'!J$84</f>
        <v>0.29479317285654288</v>
      </c>
      <c r="K57" s="25">
        <f>'Volume adjustments'!K$84</f>
        <v>0.29479317285654288</v>
      </c>
      <c r="L57" s="25">
        <f>'Volume adjustments'!L$84</f>
        <v>0.29479317285654288</v>
      </c>
      <c r="M57" s="25">
        <f>'Volume adjustments'!M$84</f>
        <v>0.29479317285654288</v>
      </c>
      <c r="N57" s="25">
        <f>'Volume adjustments'!N$84</f>
        <v>0.29479317285654288</v>
      </c>
      <c r="O57" s="25">
        <f>'Volume adjustments'!O$84</f>
        <v>0</v>
      </c>
      <c r="P57" s="25">
        <f>'Volume adjustments'!P$84</f>
        <v>0</v>
      </c>
      <c r="Q57" s="25">
        <f>'Volume adjustments'!Q$84</f>
        <v>0.29479317285654288</v>
      </c>
      <c r="R57" s="25">
        <f>'Volume adjustments'!R$84</f>
        <v>0</v>
      </c>
      <c r="S57" s="25">
        <f>'Volume adjustments'!S$84</f>
        <v>0</v>
      </c>
      <c r="T57" s="25">
        <f>'Volume adjustments'!T$84</f>
        <v>0</v>
      </c>
      <c r="U57" s="25">
        <f>'Volume adjustments'!U$84</f>
        <v>0</v>
      </c>
      <c r="V57" s="25">
        <f>'Volume adjustments'!V$84</f>
        <v>0</v>
      </c>
      <c r="W57" s="25">
        <f>'Volume adjustments'!W$84</f>
        <v>0</v>
      </c>
      <c r="X57" s="25">
        <f>'Volume adjustments'!X$84</f>
        <v>0</v>
      </c>
      <c r="Y57" s="25">
        <f>'Volume adjustments'!Y$84</f>
        <v>0</v>
      </c>
    </row>
    <row r="58" spans="3:27" x14ac:dyDescent="0.25">
      <c r="D58"/>
      <c r="E58" s="88"/>
      <c r="F58" t="s">
        <v>159</v>
      </c>
      <c r="G58" t="s">
        <v>167</v>
      </c>
      <c r="H58" s="51"/>
      <c r="J58" s="25">
        <f>'Volume adjustments'!J$99</f>
        <v>0.29479317285654288</v>
      </c>
      <c r="K58" s="25">
        <f>'Volume adjustments'!K$99</f>
        <v>0.29479317285654288</v>
      </c>
      <c r="L58" s="25">
        <f>'Volume adjustments'!L$99</f>
        <v>0.29479317285654288</v>
      </c>
      <c r="M58" s="25">
        <f>'Volume adjustments'!M$99</f>
        <v>0.29479317285654288</v>
      </c>
      <c r="N58" s="25">
        <f>'Volume adjustments'!N$99</f>
        <v>0.29479317285654288</v>
      </c>
      <c r="O58" s="25">
        <f>'Volume adjustments'!O$99</f>
        <v>0</v>
      </c>
      <c r="P58" s="25">
        <f>'Volume adjustments'!P$99</f>
        <v>0</v>
      </c>
      <c r="Q58" s="25">
        <f>'Volume adjustments'!Q$99</f>
        <v>0.29479317285654288</v>
      </c>
      <c r="R58" s="25">
        <f>'Volume adjustments'!R$99</f>
        <v>1</v>
      </c>
      <c r="S58" s="25">
        <f>'Volume adjustments'!S$99</f>
        <v>1</v>
      </c>
      <c r="T58" s="25">
        <f>'Volume adjustments'!T$99</f>
        <v>1</v>
      </c>
      <c r="U58" s="25">
        <f>'Volume adjustments'!U$99</f>
        <v>1</v>
      </c>
      <c r="V58" s="25">
        <f>'Volume adjustments'!V$99</f>
        <v>1</v>
      </c>
      <c r="W58" s="25">
        <f>'Volume adjustments'!W$99</f>
        <v>1</v>
      </c>
      <c r="X58" s="25">
        <f>'Volume adjustments'!X$99</f>
        <v>1</v>
      </c>
      <c r="Y58" s="25">
        <f>'Volume adjustments'!Y$99</f>
        <v>1</v>
      </c>
    </row>
    <row r="59" spans="3:27" x14ac:dyDescent="0.25">
      <c r="D59"/>
      <c r="E59" s="88"/>
      <c r="F59" t="s">
        <v>160</v>
      </c>
      <c r="G59" t="s">
        <v>167</v>
      </c>
      <c r="H59" s="51"/>
      <c r="J59" s="25">
        <f>'Volume adjustments'!J$110</f>
        <v>0.29479317285654288</v>
      </c>
      <c r="K59" s="25">
        <f>'Volume adjustments'!K$110</f>
        <v>0.29479317285654288</v>
      </c>
      <c r="L59" s="25">
        <f>'Volume adjustments'!L$110</f>
        <v>0.29479317285654288</v>
      </c>
      <c r="M59" s="25">
        <f>'Volume adjustments'!M$110</f>
        <v>0.29479317285654288</v>
      </c>
      <c r="N59" s="25">
        <f>'Volume adjustments'!N$110</f>
        <v>0.29479317285654288</v>
      </c>
      <c r="O59" s="25">
        <f>'Volume adjustments'!O$110</f>
        <v>0</v>
      </c>
      <c r="P59" s="25">
        <f>'Volume adjustments'!P$110</f>
        <v>0</v>
      </c>
      <c r="Q59" s="25">
        <f>'Volume adjustments'!Q$110</f>
        <v>0.29479317285654288</v>
      </c>
      <c r="R59" s="25">
        <f>'Volume adjustments'!R$110</f>
        <v>0</v>
      </c>
      <c r="S59" s="25">
        <f>'Volume adjustments'!S$110</f>
        <v>0</v>
      </c>
      <c r="T59" s="25">
        <f>'Volume adjustments'!T$110</f>
        <v>0</v>
      </c>
      <c r="U59" s="25">
        <f>'Volume adjustments'!U$110</f>
        <v>0</v>
      </c>
      <c r="V59" s="25">
        <f>'Volume adjustments'!V$110</f>
        <v>0</v>
      </c>
      <c r="W59" s="25">
        <f>'Volume adjustments'!W$110</f>
        <v>0</v>
      </c>
      <c r="X59" s="25">
        <f>'Volume adjustments'!X$110</f>
        <v>0</v>
      </c>
      <c r="Y59" s="25">
        <f>'Volume adjustments'!Y$110</f>
        <v>0</v>
      </c>
    </row>
    <row r="60" spans="3:27" x14ac:dyDescent="0.25">
      <c r="D60"/>
      <c r="E60" s="88"/>
      <c r="F60" t="s">
        <v>161</v>
      </c>
      <c r="G60" t="s">
        <v>167</v>
      </c>
      <c r="H60" s="51"/>
      <c r="J60" s="25">
        <f>'Volume adjustments'!J$121</f>
        <v>0.29479317285654288</v>
      </c>
      <c r="K60" s="25">
        <f>'Volume adjustments'!K$121</f>
        <v>0.29479317285654288</v>
      </c>
      <c r="L60" s="25">
        <f>'Volume adjustments'!L$121</f>
        <v>0.29479317285654288</v>
      </c>
      <c r="M60" s="25">
        <f>'Volume adjustments'!M$121</f>
        <v>0.29479317285654288</v>
      </c>
      <c r="N60" s="25">
        <f>'Volume adjustments'!N$121</f>
        <v>0.29479317285654288</v>
      </c>
      <c r="O60" s="25">
        <f>'Volume adjustments'!O$121</f>
        <v>0</v>
      </c>
      <c r="P60" s="25">
        <f>'Volume adjustments'!P$121</f>
        <v>0</v>
      </c>
      <c r="Q60" s="25">
        <f>'Volume adjustments'!Q$121</f>
        <v>0.29479317285654288</v>
      </c>
      <c r="R60" s="25">
        <f>'Volume adjustments'!R$121</f>
        <v>0</v>
      </c>
      <c r="S60" s="25">
        <f>'Volume adjustments'!S$121</f>
        <v>0</v>
      </c>
      <c r="T60" s="25">
        <f>'Volume adjustments'!T$121</f>
        <v>0</v>
      </c>
      <c r="U60" s="25">
        <f>'Volume adjustments'!U$121</f>
        <v>0</v>
      </c>
      <c r="V60" s="25">
        <f>'Volume adjustments'!V$121</f>
        <v>0</v>
      </c>
      <c r="W60" s="25">
        <f>'Volume adjustments'!W$121</f>
        <v>0</v>
      </c>
      <c r="X60" s="25">
        <f>'Volume adjustments'!X$121</f>
        <v>0</v>
      </c>
      <c r="Y60" s="25">
        <f>'Volume adjustments'!Y$121</f>
        <v>0</v>
      </c>
    </row>
    <row r="61" spans="3:27" x14ac:dyDescent="0.25">
      <c r="D61"/>
      <c r="E61" s="88"/>
      <c r="F61" s="37" t="s">
        <v>162</v>
      </c>
      <c r="G61" s="37" t="s">
        <v>167</v>
      </c>
      <c r="H61" s="215"/>
      <c r="I61" s="37"/>
      <c r="J61" s="141">
        <f>'Volume adjustments'!J$132</f>
        <v>0.29479317285654288</v>
      </c>
      <c r="K61" s="141">
        <f>'Volume adjustments'!K$132</f>
        <v>0.29479317285654288</v>
      </c>
      <c r="L61" s="141">
        <f>'Volume adjustments'!L$132</f>
        <v>0.29479317285654288</v>
      </c>
      <c r="M61" s="141">
        <f>'Volume adjustments'!M$132</f>
        <v>0.29479317285654288</v>
      </c>
      <c r="N61" s="141">
        <f>'Volume adjustments'!N$132</f>
        <v>0.29479317285654288</v>
      </c>
      <c r="O61" s="141">
        <f>'Volume adjustments'!O$132</f>
        <v>0</v>
      </c>
      <c r="P61" s="141">
        <f>'Volume adjustments'!P$132</f>
        <v>0</v>
      </c>
      <c r="Q61" s="141">
        <f>'Volume adjustments'!Q$132</f>
        <v>0.29479317285654288</v>
      </c>
      <c r="R61" s="141">
        <f>'Volume adjustments'!R$132</f>
        <v>0</v>
      </c>
      <c r="S61" s="141">
        <f>'Volume adjustments'!S$132</f>
        <v>0</v>
      </c>
      <c r="T61" s="141">
        <f>'Volume adjustments'!T$132</f>
        <v>0</v>
      </c>
      <c r="U61" s="141">
        <f>'Volume adjustments'!U$132</f>
        <v>0</v>
      </c>
      <c r="V61" s="141">
        <f>'Volume adjustments'!V$132</f>
        <v>0</v>
      </c>
      <c r="W61" s="141">
        <f>'Volume adjustments'!W$132</f>
        <v>0</v>
      </c>
      <c r="X61" s="141">
        <f>'Volume adjustments'!X$132</f>
        <v>0</v>
      </c>
      <c r="Y61" s="141">
        <f>'Volume adjustments'!Y$132</f>
        <v>0</v>
      </c>
    </row>
    <row r="62" spans="3:27" x14ac:dyDescent="0.25">
      <c r="D62" s="88"/>
      <c r="E62"/>
    </row>
    <row r="63" spans="3:27" x14ac:dyDescent="0.25">
      <c r="D63"/>
      <c r="E63" s="88" t="s">
        <v>860</v>
      </c>
      <c r="I63" t="s">
        <v>154</v>
      </c>
      <c r="AA63" t="s">
        <v>428</v>
      </c>
    </row>
    <row r="64" spans="3:27" x14ac:dyDescent="0.25">
      <c r="D64"/>
      <c r="E64" s="88"/>
      <c r="F64" s="23" t="s">
        <v>156</v>
      </c>
      <c r="G64" s="23" t="s">
        <v>167</v>
      </c>
      <c r="H64" s="174"/>
      <c r="I64" s="23"/>
      <c r="J64" s="107">
        <f>'Volume adjustments'!J$63</f>
        <v>0.54819720177752518</v>
      </c>
      <c r="K64" s="107">
        <f>'Volume adjustments'!K$63</f>
        <v>0.54819720177752518</v>
      </c>
      <c r="L64" s="107">
        <f>'Volume adjustments'!L$63</f>
        <v>0.54819720177752518</v>
      </c>
      <c r="M64" s="107">
        <f>'Volume adjustments'!M$63</f>
        <v>0.54819720177752518</v>
      </c>
      <c r="N64" s="107">
        <f>'Volume adjustments'!N$63</f>
        <v>0.54819720177752518</v>
      </c>
      <c r="O64" s="107">
        <f>'Volume adjustments'!O$63</f>
        <v>0.34468988968544823</v>
      </c>
      <c r="P64" s="107">
        <f>'Volume adjustments'!P$63</f>
        <v>0.28277507764655163</v>
      </c>
      <c r="Q64" s="107">
        <f>'Volume adjustments'!Q$63</f>
        <v>0.54819720177752518</v>
      </c>
      <c r="R64" s="107">
        <f>'Volume adjustments'!R$63</f>
        <v>0</v>
      </c>
      <c r="S64" s="107">
        <f>'Volume adjustments'!S$63</f>
        <v>0</v>
      </c>
      <c r="T64" s="107">
        <f>'Volume adjustments'!T$63</f>
        <v>0</v>
      </c>
      <c r="U64" s="107">
        <f>'Volume adjustments'!U$63</f>
        <v>0</v>
      </c>
      <c r="V64" s="107">
        <f>'Volume adjustments'!V$63</f>
        <v>0</v>
      </c>
      <c r="W64" s="107">
        <f>'Volume adjustments'!W$63</f>
        <v>0</v>
      </c>
      <c r="X64" s="107">
        <f>'Volume adjustments'!X$63</f>
        <v>0</v>
      </c>
      <c r="Y64" s="107">
        <f>'Volume adjustments'!Y$63</f>
        <v>0</v>
      </c>
    </row>
    <row r="65" spans="3:27" x14ac:dyDescent="0.25">
      <c r="D65"/>
      <c r="E65" s="88"/>
      <c r="F65" t="s">
        <v>157</v>
      </c>
      <c r="G65" t="s">
        <v>167</v>
      </c>
      <c r="H65" s="51"/>
      <c r="J65" s="25">
        <f>'Volume adjustments'!J$74</f>
        <v>0.54819720177752518</v>
      </c>
      <c r="K65" s="25">
        <f>'Volume adjustments'!K$74</f>
        <v>0.54819720177752518</v>
      </c>
      <c r="L65" s="25">
        <f>'Volume adjustments'!L$74</f>
        <v>0.54819720177752518</v>
      </c>
      <c r="M65" s="25">
        <f>'Volume adjustments'!M$74</f>
        <v>0.54819720177752518</v>
      </c>
      <c r="N65" s="25">
        <f>'Volume adjustments'!N$74</f>
        <v>0.54819720177752518</v>
      </c>
      <c r="O65" s="25">
        <f>'Volume adjustments'!O$74</f>
        <v>0.34468988968544823</v>
      </c>
      <c r="P65" s="25">
        <f>'Volume adjustments'!P$74</f>
        <v>0.28277507764655163</v>
      </c>
      <c r="Q65" s="25">
        <f>'Volume adjustments'!Q$74</f>
        <v>0.54819720177752518</v>
      </c>
      <c r="R65" s="25">
        <f>'Volume adjustments'!R$74</f>
        <v>0</v>
      </c>
      <c r="S65" s="25">
        <f>'Volume adjustments'!S$74</f>
        <v>0</v>
      </c>
      <c r="T65" s="25">
        <f>'Volume adjustments'!T$74</f>
        <v>0</v>
      </c>
      <c r="U65" s="25">
        <f>'Volume adjustments'!U$74</f>
        <v>0</v>
      </c>
      <c r="V65" s="25">
        <f>'Volume adjustments'!V$74</f>
        <v>0</v>
      </c>
      <c r="W65" s="25">
        <f>'Volume adjustments'!W$74</f>
        <v>0</v>
      </c>
      <c r="X65" s="25">
        <f>'Volume adjustments'!X$74</f>
        <v>0</v>
      </c>
      <c r="Y65" s="25">
        <f>'Volume adjustments'!Y$74</f>
        <v>0</v>
      </c>
    </row>
    <row r="66" spans="3:27" x14ac:dyDescent="0.25">
      <c r="D66"/>
      <c r="E66" s="88"/>
      <c r="F66" t="s">
        <v>158</v>
      </c>
      <c r="G66" t="s">
        <v>167</v>
      </c>
      <c r="H66" s="51"/>
      <c r="J66" s="25">
        <f>'Volume adjustments'!J$85</f>
        <v>0.54819720177752518</v>
      </c>
      <c r="K66" s="25">
        <f>'Volume adjustments'!K$85</f>
        <v>0.54819720177752518</v>
      </c>
      <c r="L66" s="25">
        <f>'Volume adjustments'!L$85</f>
        <v>0.54819720177752518</v>
      </c>
      <c r="M66" s="25">
        <f>'Volume adjustments'!M$85</f>
        <v>0.54819720177752518</v>
      </c>
      <c r="N66" s="25">
        <f>'Volume adjustments'!N$85</f>
        <v>0.54819720177752518</v>
      </c>
      <c r="O66" s="25">
        <f>'Volume adjustments'!O$85</f>
        <v>0.34468988968544823</v>
      </c>
      <c r="P66" s="25">
        <f>'Volume adjustments'!P$85</f>
        <v>0.28277507764655163</v>
      </c>
      <c r="Q66" s="25">
        <f>'Volume adjustments'!Q$85</f>
        <v>0.54819720177752518</v>
      </c>
      <c r="R66" s="25">
        <f>'Volume adjustments'!R$85</f>
        <v>0</v>
      </c>
      <c r="S66" s="25">
        <f>'Volume adjustments'!S$85</f>
        <v>0</v>
      </c>
      <c r="T66" s="25">
        <f>'Volume adjustments'!T$85</f>
        <v>0</v>
      </c>
      <c r="U66" s="25">
        <f>'Volume adjustments'!U$85</f>
        <v>0</v>
      </c>
      <c r="V66" s="25">
        <f>'Volume adjustments'!V$85</f>
        <v>0</v>
      </c>
      <c r="W66" s="25">
        <f>'Volume adjustments'!W$85</f>
        <v>0</v>
      </c>
      <c r="X66" s="25">
        <f>'Volume adjustments'!X$85</f>
        <v>0</v>
      </c>
      <c r="Y66" s="25">
        <f>'Volume adjustments'!Y$85</f>
        <v>0</v>
      </c>
    </row>
    <row r="67" spans="3:27" x14ac:dyDescent="0.25">
      <c r="D67"/>
      <c r="E67" s="88"/>
      <c r="F67" t="s">
        <v>159</v>
      </c>
      <c r="G67" t="s">
        <v>167</v>
      </c>
      <c r="H67" s="51"/>
      <c r="J67" s="25">
        <f>'Volume adjustments'!J$100</f>
        <v>0.54819720177752518</v>
      </c>
      <c r="K67" s="25">
        <f>'Volume adjustments'!K$100</f>
        <v>0.54819720177752518</v>
      </c>
      <c r="L67" s="25">
        <f>'Volume adjustments'!L$100</f>
        <v>0.54819720177752518</v>
      </c>
      <c r="M67" s="25">
        <f>'Volume adjustments'!M$100</f>
        <v>0.54819720177752518</v>
      </c>
      <c r="N67" s="25">
        <f>'Volume adjustments'!N$100</f>
        <v>0.54819720177752518</v>
      </c>
      <c r="O67" s="25">
        <f>'Volume adjustments'!O$100</f>
        <v>0.34468988968544823</v>
      </c>
      <c r="P67" s="25">
        <f>'Volume adjustments'!P$100</f>
        <v>0.28277507764655163</v>
      </c>
      <c r="Q67" s="25">
        <f>'Volume adjustments'!Q$100</f>
        <v>0.54819720177752518</v>
      </c>
      <c r="R67" s="25">
        <f>'Volume adjustments'!R$100</f>
        <v>1</v>
      </c>
      <c r="S67" s="25">
        <f>'Volume adjustments'!S$100</f>
        <v>1</v>
      </c>
      <c r="T67" s="25">
        <f>'Volume adjustments'!T$100</f>
        <v>1</v>
      </c>
      <c r="U67" s="25">
        <f>'Volume adjustments'!U$100</f>
        <v>1</v>
      </c>
      <c r="V67" s="25">
        <f>'Volume adjustments'!V$100</f>
        <v>1</v>
      </c>
      <c r="W67" s="25">
        <f>'Volume adjustments'!W$100</f>
        <v>1</v>
      </c>
      <c r="X67" s="25">
        <f>'Volume adjustments'!X$100</f>
        <v>1</v>
      </c>
      <c r="Y67" s="25">
        <f>'Volume adjustments'!Y$100</f>
        <v>1</v>
      </c>
    </row>
    <row r="68" spans="3:27" x14ac:dyDescent="0.25">
      <c r="D68"/>
      <c r="E68" s="88"/>
      <c r="F68" t="s">
        <v>160</v>
      </c>
      <c r="G68" t="s">
        <v>167</v>
      </c>
      <c r="H68" s="51"/>
      <c r="J68" s="25">
        <f>'Volume adjustments'!J$111</f>
        <v>0.54819720177752518</v>
      </c>
      <c r="K68" s="25">
        <f>'Volume adjustments'!K$111</f>
        <v>0.54819720177752518</v>
      </c>
      <c r="L68" s="25">
        <f>'Volume adjustments'!L$111</f>
        <v>0.54819720177752518</v>
      </c>
      <c r="M68" s="25">
        <f>'Volume adjustments'!M$111</f>
        <v>0.54819720177752518</v>
      </c>
      <c r="N68" s="25">
        <f>'Volume adjustments'!N$111</f>
        <v>0.54819720177752518</v>
      </c>
      <c r="O68" s="25">
        <f>'Volume adjustments'!O$111</f>
        <v>0.34468988968544823</v>
      </c>
      <c r="P68" s="25">
        <f>'Volume adjustments'!P$111</f>
        <v>0.28277507764655163</v>
      </c>
      <c r="Q68" s="25">
        <f>'Volume adjustments'!Q$111</f>
        <v>0.54819720177752518</v>
      </c>
      <c r="R68" s="25">
        <f>'Volume adjustments'!R$111</f>
        <v>0</v>
      </c>
      <c r="S68" s="25">
        <f>'Volume adjustments'!S$111</f>
        <v>0</v>
      </c>
      <c r="T68" s="25">
        <f>'Volume adjustments'!T$111</f>
        <v>0</v>
      </c>
      <c r="U68" s="25">
        <f>'Volume adjustments'!U$111</f>
        <v>0</v>
      </c>
      <c r="V68" s="25">
        <f>'Volume adjustments'!V$111</f>
        <v>0</v>
      </c>
      <c r="W68" s="25">
        <f>'Volume adjustments'!W$111</f>
        <v>0</v>
      </c>
      <c r="X68" s="25">
        <f>'Volume adjustments'!X$111</f>
        <v>0</v>
      </c>
      <c r="Y68" s="25">
        <f>'Volume adjustments'!Y$111</f>
        <v>0</v>
      </c>
    </row>
    <row r="69" spans="3:27" x14ac:dyDescent="0.25">
      <c r="D69"/>
      <c r="E69" s="88"/>
      <c r="F69" t="s">
        <v>161</v>
      </c>
      <c r="G69" t="s">
        <v>167</v>
      </c>
      <c r="H69" s="51"/>
      <c r="J69" s="25">
        <f>'Volume adjustments'!J$122</f>
        <v>0.54819720177752518</v>
      </c>
      <c r="K69" s="25">
        <f>'Volume adjustments'!K$122</f>
        <v>0.54819720177752518</v>
      </c>
      <c r="L69" s="25">
        <f>'Volume adjustments'!L$122</f>
        <v>0.54819720177752518</v>
      </c>
      <c r="M69" s="25">
        <f>'Volume adjustments'!M$122</f>
        <v>0.54819720177752518</v>
      </c>
      <c r="N69" s="25">
        <f>'Volume adjustments'!N$122</f>
        <v>0.54819720177752518</v>
      </c>
      <c r="O69" s="25">
        <f>'Volume adjustments'!O$122</f>
        <v>0.34468988968544823</v>
      </c>
      <c r="P69" s="25">
        <f>'Volume adjustments'!P$122</f>
        <v>0.28277507764655163</v>
      </c>
      <c r="Q69" s="25">
        <f>'Volume adjustments'!Q$122</f>
        <v>0.54819720177752518</v>
      </c>
      <c r="R69" s="25">
        <f>'Volume adjustments'!R$122</f>
        <v>0</v>
      </c>
      <c r="S69" s="25">
        <f>'Volume adjustments'!S$122</f>
        <v>0</v>
      </c>
      <c r="T69" s="25">
        <f>'Volume adjustments'!T$122</f>
        <v>0</v>
      </c>
      <c r="U69" s="25">
        <f>'Volume adjustments'!U$122</f>
        <v>0</v>
      </c>
      <c r="V69" s="25">
        <f>'Volume adjustments'!V$122</f>
        <v>0</v>
      </c>
      <c r="W69" s="25">
        <f>'Volume adjustments'!W$122</f>
        <v>0</v>
      </c>
      <c r="X69" s="25">
        <f>'Volume adjustments'!X$122</f>
        <v>0</v>
      </c>
      <c r="Y69" s="25">
        <f>'Volume adjustments'!Y$122</f>
        <v>0</v>
      </c>
    </row>
    <row r="70" spans="3:27" x14ac:dyDescent="0.25">
      <c r="D70"/>
      <c r="E70" s="88"/>
      <c r="F70" s="37" t="s">
        <v>162</v>
      </c>
      <c r="G70" s="37" t="s">
        <v>167</v>
      </c>
      <c r="H70" s="215"/>
      <c r="I70" s="37"/>
      <c r="J70" s="141">
        <f>'Volume adjustments'!J$133</f>
        <v>0.54819720177752518</v>
      </c>
      <c r="K70" s="141">
        <f>'Volume adjustments'!K$133</f>
        <v>0.54819720177752518</v>
      </c>
      <c r="L70" s="141">
        <f>'Volume adjustments'!L$133</f>
        <v>0.54819720177752518</v>
      </c>
      <c r="M70" s="141">
        <f>'Volume adjustments'!M$133</f>
        <v>0.54819720177752518</v>
      </c>
      <c r="N70" s="141">
        <f>'Volume adjustments'!N$133</f>
        <v>0.54819720177752518</v>
      </c>
      <c r="O70" s="141">
        <f>'Volume adjustments'!O$133</f>
        <v>0.34468988968544823</v>
      </c>
      <c r="P70" s="141">
        <f>'Volume adjustments'!P$133</f>
        <v>0.28277507764655163</v>
      </c>
      <c r="Q70" s="141">
        <f>'Volume adjustments'!Q$133</f>
        <v>0.54819720177752518</v>
      </c>
      <c r="R70" s="141">
        <f>'Volume adjustments'!R$133</f>
        <v>0</v>
      </c>
      <c r="S70" s="141">
        <f>'Volume adjustments'!S$133</f>
        <v>0</v>
      </c>
      <c r="T70" s="141">
        <f>'Volume adjustments'!T$133</f>
        <v>0</v>
      </c>
      <c r="U70" s="141">
        <f>'Volume adjustments'!U$133</f>
        <v>0</v>
      </c>
      <c r="V70" s="141">
        <f>'Volume adjustments'!V$133</f>
        <v>0</v>
      </c>
      <c r="W70" s="141">
        <f>'Volume adjustments'!W$133</f>
        <v>0</v>
      </c>
      <c r="X70" s="141">
        <f>'Volume adjustments'!X$133</f>
        <v>0</v>
      </c>
      <c r="Y70" s="141">
        <f>'Volume adjustments'!Y$133</f>
        <v>0</v>
      </c>
    </row>
    <row r="71" spans="3:27" x14ac:dyDescent="0.25">
      <c r="D71" s="88"/>
      <c r="E71"/>
    </row>
    <row r="72" spans="3:27" x14ac:dyDescent="0.25">
      <c r="C72" s="31" t="str">
        <f ca="1">INDEX('Version control'!$H$34:$H$57,MATCH($A$1,'Version control'!$F$34:$F$57,0),1)&amp;"-E: Decimal places for rounding"</f>
        <v>Section 117-E: Decimal places for rounding</v>
      </c>
      <c r="D72" s="31"/>
      <c r="E72" s="31"/>
      <c r="F72" s="31"/>
      <c r="G72" s="31"/>
      <c r="H72" s="31"/>
      <c r="I72" s="31"/>
      <c r="J72" s="31"/>
      <c r="K72" s="31"/>
      <c r="L72" s="31"/>
      <c r="M72" s="31"/>
      <c r="N72" s="31"/>
      <c r="O72" s="31"/>
      <c r="P72" s="31"/>
      <c r="Q72" s="31"/>
      <c r="R72" s="31"/>
      <c r="S72" s="31"/>
      <c r="T72" s="31"/>
      <c r="U72" s="31"/>
      <c r="V72" s="31"/>
      <c r="W72" s="31"/>
      <c r="X72" s="31"/>
      <c r="Y72" s="31"/>
      <c r="Z72" s="31"/>
      <c r="AA72" s="31"/>
    </row>
    <row r="74" spans="3:27" x14ac:dyDescent="0.25">
      <c r="E74" s="32" t="s">
        <v>861</v>
      </c>
      <c r="I74" t="s">
        <v>154</v>
      </c>
      <c r="AA74" t="s">
        <v>155</v>
      </c>
    </row>
    <row r="75" spans="3:27" x14ac:dyDescent="0.25">
      <c r="C75" s="88"/>
      <c r="F75" s="23" t="s">
        <v>156</v>
      </c>
      <c r="G75" s="23" t="s">
        <v>149</v>
      </c>
      <c r="H75" s="174">
        <f>'Fixed inputs'!H25</f>
        <v>3</v>
      </c>
    </row>
    <row r="76" spans="3:27" x14ac:dyDescent="0.25">
      <c r="C76" s="88"/>
      <c r="F76" t="s">
        <v>157</v>
      </c>
      <c r="G76" t="s">
        <v>149</v>
      </c>
      <c r="H76" s="51">
        <f>'Fixed inputs'!H26</f>
        <v>3</v>
      </c>
    </row>
    <row r="77" spans="3:27" x14ac:dyDescent="0.25">
      <c r="C77" s="88"/>
      <c r="F77" t="s">
        <v>158</v>
      </c>
      <c r="G77" t="s">
        <v>149</v>
      </c>
      <c r="H77" s="51">
        <f>'Fixed inputs'!H27</f>
        <v>3</v>
      </c>
    </row>
    <row r="78" spans="3:27" x14ac:dyDescent="0.25">
      <c r="C78" s="88"/>
      <c r="F78" t="s">
        <v>159</v>
      </c>
      <c r="G78" t="s">
        <v>149</v>
      </c>
      <c r="H78" s="51">
        <f>'Fixed inputs'!H28</f>
        <v>2</v>
      </c>
    </row>
    <row r="79" spans="3:27" x14ac:dyDescent="0.25">
      <c r="C79" s="88"/>
      <c r="F79" t="s">
        <v>160</v>
      </c>
      <c r="G79" t="s">
        <v>149</v>
      </c>
      <c r="H79" s="51">
        <f>'Fixed inputs'!H29</f>
        <v>2</v>
      </c>
    </row>
    <row r="80" spans="3:27" x14ac:dyDescent="0.25">
      <c r="C80" s="88"/>
      <c r="F80" t="s">
        <v>161</v>
      </c>
      <c r="G80" t="s">
        <v>149</v>
      </c>
      <c r="H80" s="51">
        <f>'Fixed inputs'!H30</f>
        <v>2</v>
      </c>
    </row>
    <row r="81" spans="2:27" x14ac:dyDescent="0.25">
      <c r="C81" s="88"/>
      <c r="F81" s="37" t="s">
        <v>162</v>
      </c>
      <c r="G81" s="37" t="s">
        <v>149</v>
      </c>
      <c r="H81" s="215">
        <f>'Fixed inputs'!H31</f>
        <v>3</v>
      </c>
    </row>
    <row r="82" spans="2:27" x14ac:dyDescent="0.25">
      <c r="C82" s="88"/>
    </row>
    <row r="83" spans="2:27" x14ac:dyDescent="0.25">
      <c r="B83" s="30" t="s">
        <v>862</v>
      </c>
      <c r="C83" s="30"/>
      <c r="D83" s="30"/>
      <c r="E83" s="30"/>
      <c r="F83" s="30"/>
      <c r="G83" s="30"/>
      <c r="H83" s="30"/>
      <c r="I83" s="30"/>
      <c r="J83" s="30"/>
      <c r="K83" s="30"/>
      <c r="L83" s="30"/>
      <c r="M83" s="30"/>
      <c r="N83" s="30"/>
      <c r="O83" s="30"/>
      <c r="P83" s="30"/>
      <c r="Q83" s="30"/>
      <c r="R83" s="30"/>
      <c r="S83" s="30"/>
      <c r="T83" s="30"/>
      <c r="U83" s="30"/>
      <c r="V83" s="30"/>
      <c r="W83" s="30"/>
      <c r="X83" s="30"/>
      <c r="Y83" s="30"/>
      <c r="Z83" s="30"/>
      <c r="AA83" s="30"/>
    </row>
    <row r="85" spans="2:27" x14ac:dyDescent="0.25">
      <c r="C85" s="29" t="s">
        <v>863</v>
      </c>
    </row>
    <row r="87" spans="2:27" x14ac:dyDescent="0.25">
      <c r="C87" s="31" t="str">
        <f ca="1">INDEX('Version control'!$H$34:$H$57,MATCH($A$1,'Version control'!$F$34:$F$57,0),1)&amp;"-F: Tariff forecast, post-revenue matching"</f>
        <v>Section 117-F: Tariff forecast, post-revenue matching</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25">
      <c r="D89"/>
      <c r="E89" s="32" t="s">
        <v>864</v>
      </c>
      <c r="F89" s="32"/>
    </row>
    <row r="90" spans="2:27" x14ac:dyDescent="0.25">
      <c r="D90"/>
      <c r="E90" s="88"/>
      <c r="F90" s="23" t="s">
        <v>156</v>
      </c>
      <c r="G90" s="23" t="s">
        <v>269</v>
      </c>
      <c r="H90" s="286"/>
      <c r="I90" s="270"/>
      <c r="J90" s="289">
        <f xml:space="preserve"> J20 + J32</f>
        <v>11.165329823487141</v>
      </c>
      <c r="K90" s="289">
        <f t="shared" ref="K90:Y90" si="0" xml:space="preserve"> K20 + K32</f>
        <v>11.165329823487141</v>
      </c>
      <c r="L90" s="289">
        <f t="shared" si="0"/>
        <v>11.600317841672103</v>
      </c>
      <c r="M90" s="289">
        <f t="shared" si="0"/>
        <v>11.600317841672103</v>
      </c>
      <c r="N90" s="289">
        <f t="shared" si="0"/>
        <v>9.0749915054506332</v>
      </c>
      <c r="O90" s="289">
        <f t="shared" si="0"/>
        <v>5.2623865687211993</v>
      </c>
      <c r="P90" s="289">
        <f t="shared" si="0"/>
        <v>4.0867575409669055</v>
      </c>
      <c r="Q90" s="289">
        <f t="shared" si="0"/>
        <v>23.361724046807343</v>
      </c>
      <c r="R90" s="289">
        <f t="shared" si="0"/>
        <v>-7.0400663600224984</v>
      </c>
      <c r="S90" s="289">
        <f t="shared" si="0"/>
        <v>-6.3183521781843845</v>
      </c>
      <c r="T90" s="289">
        <f t="shared" si="0"/>
        <v>-7.0400663600224984</v>
      </c>
      <c r="U90" s="289">
        <f t="shared" si="0"/>
        <v>-7.0400663600224984</v>
      </c>
      <c r="V90" s="289">
        <f t="shared" si="0"/>
        <v>-6.3183521781843845</v>
      </c>
      <c r="W90" s="289">
        <f t="shared" si="0"/>
        <v>-6.3183521781843845</v>
      </c>
      <c r="X90" s="289">
        <f t="shared" si="0"/>
        <v>-3.4601529888602931</v>
      </c>
      <c r="Y90" s="289">
        <f t="shared" si="0"/>
        <v>-3.4601529888602931</v>
      </c>
      <c r="Z90" s="272"/>
      <c r="AA90" s="272"/>
    </row>
    <row r="91" spans="2:27" x14ac:dyDescent="0.25">
      <c r="D91"/>
      <c r="E91" s="88"/>
      <c r="F91" t="s">
        <v>157</v>
      </c>
      <c r="G91" t="s">
        <v>269</v>
      </c>
      <c r="H91" s="287"/>
      <c r="I91" s="272"/>
      <c r="J91" s="290">
        <f t="shared" ref="J91:Y91" si="1" xml:space="preserve"> J21 + J33</f>
        <v>2.8657778758386829</v>
      </c>
      <c r="K91" s="290">
        <f t="shared" si="1"/>
        <v>2.8657778758386829</v>
      </c>
      <c r="L91" s="290">
        <f t="shared" si="1"/>
        <v>2.9331416259254359</v>
      </c>
      <c r="M91" s="290">
        <f t="shared" si="1"/>
        <v>2.9331416259254359</v>
      </c>
      <c r="N91" s="290">
        <f t="shared" si="1"/>
        <v>2.5335131217989497</v>
      </c>
      <c r="O91" s="290">
        <f t="shared" si="1"/>
        <v>1.9297777819321384</v>
      </c>
      <c r="P91" s="290">
        <f t="shared" si="1"/>
        <v>1.7405655034466805</v>
      </c>
      <c r="Q91" s="290">
        <f t="shared" si="1"/>
        <v>5.1191344450493883</v>
      </c>
      <c r="R91" s="290">
        <f t="shared" si="1"/>
        <v>-1.0902490437542633</v>
      </c>
      <c r="S91" s="290">
        <f t="shared" si="1"/>
        <v>-0.97545424417849347</v>
      </c>
      <c r="T91" s="290">
        <f t="shared" si="1"/>
        <v>-1.0902490437542633</v>
      </c>
      <c r="U91" s="290">
        <f t="shared" si="1"/>
        <v>-1.0902490437542633</v>
      </c>
      <c r="V91" s="290">
        <f t="shared" si="1"/>
        <v>-0.97545424417849347</v>
      </c>
      <c r="W91" s="290">
        <f t="shared" si="1"/>
        <v>-0.97545424417849347</v>
      </c>
      <c r="X91" s="290">
        <f t="shared" si="1"/>
        <v>-0.51650220466529395</v>
      </c>
      <c r="Y91" s="290">
        <f t="shared" si="1"/>
        <v>-0.51650220466529395</v>
      </c>
      <c r="Z91" s="272"/>
      <c r="AA91" s="272"/>
    </row>
    <row r="92" spans="2:27" x14ac:dyDescent="0.25">
      <c r="D92"/>
      <c r="E92" s="88"/>
      <c r="F92" t="s">
        <v>158</v>
      </c>
      <c r="G92" t="s">
        <v>269</v>
      </c>
      <c r="H92" s="287"/>
      <c r="I92" s="272"/>
      <c r="J92" s="290">
        <f t="shared" ref="J92:Y92" si="2" xml:space="preserve"> J22 + J34</f>
        <v>2.0433508230323545</v>
      </c>
      <c r="K92" s="290">
        <f t="shared" si="2"/>
        <v>2.0433508230323545</v>
      </c>
      <c r="L92" s="290">
        <f t="shared" si="2"/>
        <v>2.0742856013795241</v>
      </c>
      <c r="M92" s="290">
        <f t="shared" si="2"/>
        <v>2.0742856013795241</v>
      </c>
      <c r="N92" s="290">
        <f t="shared" si="2"/>
        <v>1.8882307966922554</v>
      </c>
      <c r="O92" s="290">
        <f t="shared" si="2"/>
        <v>1.607034695963012</v>
      </c>
      <c r="P92" s="290">
        <f t="shared" si="2"/>
        <v>1.5180220524553145</v>
      </c>
      <c r="Q92" s="290">
        <f t="shared" si="2"/>
        <v>4.1093830603741246</v>
      </c>
      <c r="R92" s="290">
        <f t="shared" si="2"/>
        <v>-0.5006641178425727</v>
      </c>
      <c r="S92" s="290">
        <f t="shared" si="2"/>
        <v>-0.44704928923359355</v>
      </c>
      <c r="T92" s="290">
        <f t="shared" si="2"/>
        <v>-0.5006641178425727</v>
      </c>
      <c r="U92" s="290">
        <f t="shared" si="2"/>
        <v>-0.5006641178425727</v>
      </c>
      <c r="V92" s="290">
        <f t="shared" si="2"/>
        <v>-0.44704928923359355</v>
      </c>
      <c r="W92" s="290">
        <f t="shared" si="2"/>
        <v>-0.44704928923359355</v>
      </c>
      <c r="X92" s="290">
        <f t="shared" si="2"/>
        <v>-0.23144428706139836</v>
      </c>
      <c r="Y92" s="290">
        <f t="shared" si="2"/>
        <v>-0.23144428706139836</v>
      </c>
      <c r="Z92" s="272"/>
      <c r="AA92" s="272"/>
    </row>
    <row r="93" spans="2:27" x14ac:dyDescent="0.25">
      <c r="D93"/>
      <c r="E93" s="88"/>
      <c r="F93" t="s">
        <v>159</v>
      </c>
      <c r="G93" t="s">
        <v>270</v>
      </c>
      <c r="H93" s="51"/>
      <c r="J93" s="98">
        <f t="shared" ref="J93:Y93" si="3" xml:space="preserve"> J23 + J35</f>
        <v>6.6175718801834673</v>
      </c>
      <c r="K93" s="98">
        <f t="shared" si="3"/>
        <v>0</v>
      </c>
      <c r="L93" s="98">
        <f t="shared" si="3"/>
        <v>9.5290668846530906</v>
      </c>
      <c r="M93" s="98">
        <f t="shared" si="3"/>
        <v>0</v>
      </c>
      <c r="N93" s="98">
        <f t="shared" si="3"/>
        <v>29.576050526927716</v>
      </c>
      <c r="O93" s="98">
        <f t="shared" si="3"/>
        <v>54.802244524365939</v>
      </c>
      <c r="P93" s="98">
        <f t="shared" si="3"/>
        <v>307.23294745941183</v>
      </c>
      <c r="Q93" s="98">
        <f t="shared" si="3"/>
        <v>0</v>
      </c>
      <c r="R93" s="98">
        <f t="shared" si="3"/>
        <v>0</v>
      </c>
      <c r="S93" s="98">
        <f t="shared" si="3"/>
        <v>0</v>
      </c>
      <c r="T93" s="98">
        <f t="shared" si="3"/>
        <v>0</v>
      </c>
      <c r="U93" s="98">
        <f t="shared" si="3"/>
        <v>0</v>
      </c>
      <c r="V93" s="98">
        <f t="shared" si="3"/>
        <v>0</v>
      </c>
      <c r="W93" s="98">
        <f t="shared" si="3"/>
        <v>0</v>
      </c>
      <c r="X93" s="98">
        <f t="shared" si="3"/>
        <v>498.32981028380851</v>
      </c>
      <c r="Y93" s="98">
        <f t="shared" si="3"/>
        <v>498.32981028380851</v>
      </c>
    </row>
    <row r="94" spans="2:27" x14ac:dyDescent="0.25">
      <c r="D94"/>
      <c r="E94" s="88"/>
      <c r="F94" t="s">
        <v>160</v>
      </c>
      <c r="G94" t="s">
        <v>271</v>
      </c>
      <c r="H94" s="51"/>
      <c r="J94" s="98">
        <f t="shared" ref="J94:Y94" si="4" xml:space="preserve"> J24 + J36</f>
        <v>0</v>
      </c>
      <c r="K94" s="98">
        <f t="shared" si="4"/>
        <v>0</v>
      </c>
      <c r="L94" s="98">
        <f t="shared" si="4"/>
        <v>0</v>
      </c>
      <c r="M94" s="98">
        <f t="shared" si="4"/>
        <v>0</v>
      </c>
      <c r="N94" s="98">
        <f t="shared" si="4"/>
        <v>5.1440159705455697</v>
      </c>
      <c r="O94" s="98">
        <f t="shared" si="4"/>
        <v>8.3306434828431062</v>
      </c>
      <c r="P94" s="98">
        <f t="shared" si="4"/>
        <v>11.113457295581</v>
      </c>
      <c r="Q94" s="98">
        <f t="shared" si="4"/>
        <v>0</v>
      </c>
      <c r="R94" s="98">
        <f t="shared" si="4"/>
        <v>0</v>
      </c>
      <c r="S94" s="98">
        <f t="shared" si="4"/>
        <v>0</v>
      </c>
      <c r="T94" s="98">
        <f t="shared" si="4"/>
        <v>0</v>
      </c>
      <c r="U94" s="98">
        <f t="shared" si="4"/>
        <v>0</v>
      </c>
      <c r="V94" s="98">
        <f t="shared" si="4"/>
        <v>0</v>
      </c>
      <c r="W94" s="98">
        <f t="shared" si="4"/>
        <v>0</v>
      </c>
      <c r="X94" s="98">
        <f t="shared" si="4"/>
        <v>0</v>
      </c>
      <c r="Y94" s="98">
        <f t="shared" si="4"/>
        <v>0</v>
      </c>
    </row>
    <row r="95" spans="2:27" x14ac:dyDescent="0.25">
      <c r="D95"/>
      <c r="E95" s="88"/>
      <c r="F95" t="s">
        <v>161</v>
      </c>
      <c r="G95" t="s">
        <v>271</v>
      </c>
      <c r="H95" s="51"/>
      <c r="J95" s="98">
        <f t="shared" ref="J95:Y95" si="5" xml:space="preserve"> J25 + J37</f>
        <v>0</v>
      </c>
      <c r="K95" s="98">
        <f t="shared" si="5"/>
        <v>0</v>
      </c>
      <c r="L95" s="98">
        <f t="shared" si="5"/>
        <v>0</v>
      </c>
      <c r="M95" s="98">
        <f t="shared" si="5"/>
        <v>0</v>
      </c>
      <c r="N95" s="98">
        <f t="shared" si="5"/>
        <v>9.1762338963144749</v>
      </c>
      <c r="O95" s="98">
        <f t="shared" si="5"/>
        <v>11.393186401103572</v>
      </c>
      <c r="P95" s="98">
        <f t="shared" si="5"/>
        <v>13.027486250063824</v>
      </c>
      <c r="Q95" s="98">
        <f t="shared" si="5"/>
        <v>0</v>
      </c>
      <c r="R95" s="98">
        <f t="shared" si="5"/>
        <v>0</v>
      </c>
      <c r="S95" s="98">
        <f t="shared" si="5"/>
        <v>0</v>
      </c>
      <c r="T95" s="98">
        <f t="shared" si="5"/>
        <v>0</v>
      </c>
      <c r="U95" s="98">
        <f t="shared" si="5"/>
        <v>0</v>
      </c>
      <c r="V95" s="98">
        <f t="shared" si="5"/>
        <v>0</v>
      </c>
      <c r="W95" s="98">
        <f t="shared" si="5"/>
        <v>0</v>
      </c>
      <c r="X95" s="98">
        <f t="shared" si="5"/>
        <v>0</v>
      </c>
      <c r="Y95" s="98">
        <f t="shared" si="5"/>
        <v>0</v>
      </c>
    </row>
    <row r="96" spans="2:27" x14ac:dyDescent="0.25">
      <c r="D96"/>
      <c r="E96" s="88"/>
      <c r="F96" s="37" t="s">
        <v>162</v>
      </c>
      <c r="G96" s="37" t="s">
        <v>272</v>
      </c>
      <c r="H96" s="291"/>
      <c r="I96" s="276"/>
      <c r="J96" s="292">
        <f t="shared" ref="J96:Y96" si="6" xml:space="preserve"> J26 + J38</f>
        <v>0</v>
      </c>
      <c r="K96" s="292">
        <f t="shared" si="6"/>
        <v>0</v>
      </c>
      <c r="L96" s="292">
        <f t="shared" si="6"/>
        <v>0</v>
      </c>
      <c r="M96" s="292">
        <f t="shared" si="6"/>
        <v>0</v>
      </c>
      <c r="N96" s="292">
        <f t="shared" si="6"/>
        <v>0.27331421440687764</v>
      </c>
      <c r="O96" s="292">
        <f t="shared" si="6"/>
        <v>0.1268234960859709</v>
      </c>
      <c r="P96" s="292">
        <f t="shared" si="6"/>
        <v>8.943027690120936E-2</v>
      </c>
      <c r="Q96" s="292">
        <f t="shared" si="6"/>
        <v>0</v>
      </c>
      <c r="R96" s="292">
        <f t="shared" si="6"/>
        <v>0</v>
      </c>
      <c r="S96" s="292">
        <f t="shared" si="6"/>
        <v>0</v>
      </c>
      <c r="T96" s="292">
        <f t="shared" si="6"/>
        <v>0.26353316215755945</v>
      </c>
      <c r="U96" s="292">
        <f t="shared" si="6"/>
        <v>0</v>
      </c>
      <c r="V96" s="292">
        <f t="shared" si="6"/>
        <v>0.22238816388478141</v>
      </c>
      <c r="W96" s="292">
        <f t="shared" si="6"/>
        <v>0</v>
      </c>
      <c r="X96" s="292">
        <f t="shared" si="6"/>
        <v>0.20330260311142292</v>
      </c>
      <c r="Y96" s="292">
        <f t="shared" si="6"/>
        <v>0</v>
      </c>
      <c r="Z96" s="272"/>
      <c r="AA96" s="272"/>
    </row>
    <row r="97" spans="3:27" x14ac:dyDescent="0.25">
      <c r="D97" s="32"/>
      <c r="E97"/>
      <c r="J97" s="89"/>
      <c r="K97" s="89"/>
      <c r="L97" s="89"/>
      <c r="M97" s="89"/>
      <c r="N97" s="89"/>
      <c r="O97" s="89"/>
      <c r="P97" s="89"/>
      <c r="Q97" s="89"/>
      <c r="R97" s="89"/>
      <c r="S97" s="89"/>
      <c r="T97" s="89"/>
      <c r="U97" s="89"/>
      <c r="V97" s="89"/>
      <c r="W97" s="89"/>
      <c r="X97" s="89"/>
      <c r="Y97" s="89"/>
    </row>
    <row r="98" spans="3:27" x14ac:dyDescent="0.25">
      <c r="C98" s="31" t="str">
        <f ca="1">INDEX('Version control'!$H$34:$H$57,MATCH($A$1,'Version control'!$F$34:$F$57,0),1)&amp;"-G: Tariff forecast, post-adders &amp; discounting"</f>
        <v>Section 117-G: Tariff forecast, post-adders &amp; discounting</v>
      </c>
      <c r="D98" s="31"/>
      <c r="E98" s="31"/>
      <c r="F98" s="31"/>
      <c r="G98" s="31"/>
      <c r="H98" s="31"/>
      <c r="I98" s="31"/>
      <c r="J98" s="90"/>
      <c r="K98" s="90"/>
      <c r="L98" s="90"/>
      <c r="M98" s="90"/>
      <c r="N98" s="90"/>
      <c r="O98" s="90"/>
      <c r="P98" s="90"/>
      <c r="Q98" s="90"/>
      <c r="R98" s="90"/>
      <c r="S98" s="90"/>
      <c r="T98" s="90"/>
      <c r="U98" s="90"/>
      <c r="V98" s="90"/>
      <c r="W98" s="90"/>
      <c r="X98" s="90"/>
      <c r="Y98" s="90"/>
      <c r="Z98" s="31"/>
      <c r="AA98" s="31"/>
    </row>
    <row r="99" spans="3:27" x14ac:dyDescent="0.25">
      <c r="J99" s="89"/>
      <c r="K99" s="89"/>
      <c r="L99" s="89"/>
      <c r="M99" s="89"/>
      <c r="N99" s="89"/>
      <c r="O99" s="89"/>
      <c r="P99" s="89"/>
      <c r="Q99" s="89"/>
      <c r="R99" s="89"/>
      <c r="S99" s="89"/>
      <c r="T99" s="89"/>
      <c r="U99" s="89"/>
      <c r="V99" s="89"/>
      <c r="W99" s="89"/>
      <c r="X99" s="89"/>
      <c r="Y99" s="89"/>
    </row>
    <row r="100" spans="3:27" x14ac:dyDescent="0.25">
      <c r="E100" s="32" t="s">
        <v>1052</v>
      </c>
      <c r="F100" s="32"/>
      <c r="I100" t="s">
        <v>154</v>
      </c>
      <c r="J100" s="89"/>
      <c r="K100" s="89"/>
      <c r="L100" s="89"/>
      <c r="M100" s="89"/>
      <c r="N100" s="89"/>
      <c r="O100" s="89"/>
      <c r="P100" s="89"/>
      <c r="Q100" s="89"/>
      <c r="R100" s="89"/>
      <c r="S100" s="89"/>
      <c r="T100" s="89"/>
      <c r="U100" s="89"/>
      <c r="V100" s="89"/>
      <c r="W100" s="89"/>
      <c r="X100" s="89"/>
      <c r="Y100" s="89"/>
      <c r="AA100" t="s">
        <v>1066</v>
      </c>
    </row>
    <row r="101" spans="3:27" x14ac:dyDescent="0.25">
      <c r="E101" s="88"/>
      <c r="F101" s="23" t="s">
        <v>156</v>
      </c>
      <c r="G101" s="23" t="s">
        <v>269</v>
      </c>
      <c r="H101" s="286"/>
      <c r="I101" s="270"/>
      <c r="J101" s="342">
        <f xml:space="preserve"> J90 + J44</f>
        <v>11.165329823487141</v>
      </c>
      <c r="K101" s="342">
        <f t="shared" ref="K101:Y101" si="7" xml:space="preserve"> K90 + K44</f>
        <v>11.165329823487141</v>
      </c>
      <c r="L101" s="342">
        <f t="shared" si="7"/>
        <v>11.600317841672103</v>
      </c>
      <c r="M101" s="342">
        <f t="shared" si="7"/>
        <v>11.600317841672103</v>
      </c>
      <c r="N101" s="342">
        <f t="shared" si="7"/>
        <v>9.0749915054506332</v>
      </c>
      <c r="O101" s="342">
        <f t="shared" si="7"/>
        <v>5.2623865687211993</v>
      </c>
      <c r="P101" s="342">
        <f t="shared" si="7"/>
        <v>4.0867575409669055</v>
      </c>
      <c r="Q101" s="342">
        <f t="shared" si="7"/>
        <v>23.361724046807343</v>
      </c>
      <c r="R101" s="342">
        <f t="shared" si="7"/>
        <v>-7.0400663600224984</v>
      </c>
      <c r="S101" s="342">
        <f t="shared" si="7"/>
        <v>-6.3183521781843845</v>
      </c>
      <c r="T101" s="342">
        <f t="shared" si="7"/>
        <v>-7.0400663600224984</v>
      </c>
      <c r="U101" s="342">
        <f t="shared" si="7"/>
        <v>-7.0400663600224984</v>
      </c>
      <c r="V101" s="342">
        <f t="shared" si="7"/>
        <v>-6.3183521781843845</v>
      </c>
      <c r="W101" s="342">
        <f t="shared" si="7"/>
        <v>-6.3183521781843845</v>
      </c>
      <c r="X101" s="342">
        <f t="shared" si="7"/>
        <v>-3.4601529888602931</v>
      </c>
      <c r="Y101" s="342">
        <f t="shared" si="7"/>
        <v>-3.4601529888602931</v>
      </c>
      <c r="Z101" s="272"/>
      <c r="AA101" s="272"/>
    </row>
    <row r="102" spans="3:27" x14ac:dyDescent="0.25">
      <c r="E102" s="88"/>
      <c r="F102" t="s">
        <v>157</v>
      </c>
      <c r="G102" t="s">
        <v>269</v>
      </c>
      <c r="H102" s="287"/>
      <c r="I102" s="272"/>
      <c r="J102" s="343">
        <f t="shared" ref="J102:Y102" si="8" xml:space="preserve"> J91 + J45</f>
        <v>2.8657778758386829</v>
      </c>
      <c r="K102" s="343">
        <f t="shared" si="8"/>
        <v>2.8657778758386829</v>
      </c>
      <c r="L102" s="343">
        <f t="shared" si="8"/>
        <v>2.9331416259254359</v>
      </c>
      <c r="M102" s="343">
        <f t="shared" si="8"/>
        <v>2.9331416259254359</v>
      </c>
      <c r="N102" s="343">
        <f t="shared" si="8"/>
        <v>2.5335131217989497</v>
      </c>
      <c r="O102" s="343">
        <f t="shared" si="8"/>
        <v>1.9297777819321384</v>
      </c>
      <c r="P102" s="343">
        <f t="shared" si="8"/>
        <v>1.7405655034466805</v>
      </c>
      <c r="Q102" s="343">
        <f t="shared" si="8"/>
        <v>5.1191344450493883</v>
      </c>
      <c r="R102" s="343">
        <f t="shared" si="8"/>
        <v>-1.0902490437542633</v>
      </c>
      <c r="S102" s="343">
        <f t="shared" si="8"/>
        <v>-0.97545424417849347</v>
      </c>
      <c r="T102" s="343">
        <f t="shared" si="8"/>
        <v>-1.0902490437542633</v>
      </c>
      <c r="U102" s="343">
        <f t="shared" si="8"/>
        <v>-1.0902490437542633</v>
      </c>
      <c r="V102" s="343">
        <f t="shared" si="8"/>
        <v>-0.97545424417849347</v>
      </c>
      <c r="W102" s="343">
        <f t="shared" si="8"/>
        <v>-0.97545424417849347</v>
      </c>
      <c r="X102" s="343">
        <f t="shared" si="8"/>
        <v>-0.51650220466529395</v>
      </c>
      <c r="Y102" s="343">
        <f t="shared" si="8"/>
        <v>-0.51650220466529395</v>
      </c>
      <c r="Z102" s="272"/>
      <c r="AA102" s="272"/>
    </row>
    <row r="103" spans="3:27" x14ac:dyDescent="0.25">
      <c r="E103" s="88"/>
      <c r="F103" t="s">
        <v>158</v>
      </c>
      <c r="G103" t="s">
        <v>269</v>
      </c>
      <c r="H103" s="287"/>
      <c r="I103" s="272"/>
      <c r="J103" s="343">
        <f t="shared" ref="J103:Y103" si="9" xml:space="preserve"> J92 + J46</f>
        <v>2.0433508230323545</v>
      </c>
      <c r="K103" s="343">
        <f t="shared" si="9"/>
        <v>2.0433508230323545</v>
      </c>
      <c r="L103" s="343">
        <f t="shared" si="9"/>
        <v>2.0742856013795241</v>
      </c>
      <c r="M103" s="343">
        <f t="shared" si="9"/>
        <v>2.0742856013795241</v>
      </c>
      <c r="N103" s="343">
        <f t="shared" si="9"/>
        <v>1.8882307966922554</v>
      </c>
      <c r="O103" s="343">
        <f t="shared" si="9"/>
        <v>1.607034695963012</v>
      </c>
      <c r="P103" s="343">
        <f t="shared" si="9"/>
        <v>1.5180220524553145</v>
      </c>
      <c r="Q103" s="343">
        <f t="shared" si="9"/>
        <v>4.1093830603741246</v>
      </c>
      <c r="R103" s="343">
        <f t="shared" si="9"/>
        <v>-0.5006641178425727</v>
      </c>
      <c r="S103" s="343">
        <f t="shared" si="9"/>
        <v>-0.44704928923359355</v>
      </c>
      <c r="T103" s="343">
        <f t="shared" si="9"/>
        <v>-0.5006641178425727</v>
      </c>
      <c r="U103" s="343">
        <f t="shared" si="9"/>
        <v>-0.5006641178425727</v>
      </c>
      <c r="V103" s="343">
        <f t="shared" si="9"/>
        <v>-0.44704928923359355</v>
      </c>
      <c r="W103" s="343">
        <f t="shared" si="9"/>
        <v>-0.44704928923359355</v>
      </c>
      <c r="X103" s="343">
        <f t="shared" si="9"/>
        <v>-0.23144428706139836</v>
      </c>
      <c r="Y103" s="343">
        <f t="shared" si="9"/>
        <v>-0.23144428706139836</v>
      </c>
      <c r="Z103" s="272"/>
      <c r="AA103" s="272"/>
    </row>
    <row r="104" spans="3:27" x14ac:dyDescent="0.25">
      <c r="E104" s="88"/>
      <c r="F104" t="s">
        <v>159</v>
      </c>
      <c r="G104" t="s">
        <v>270</v>
      </c>
      <c r="H104" s="51"/>
      <c r="J104" s="344">
        <f t="shared" ref="J104:Y104" si="10" xml:space="preserve"> J93 + J47</f>
        <v>7.1133937984050686</v>
      </c>
      <c r="K104" s="344">
        <f t="shared" si="10"/>
        <v>0</v>
      </c>
      <c r="L104" s="344">
        <f t="shared" si="10"/>
        <v>9.9825916797475873</v>
      </c>
      <c r="M104" s="344">
        <f t="shared" si="10"/>
        <v>0</v>
      </c>
      <c r="N104" s="344">
        <f t="shared" si="10"/>
        <v>30.029575322022211</v>
      </c>
      <c r="O104" s="344">
        <f t="shared" si="10"/>
        <v>55.255769319460434</v>
      </c>
      <c r="P104" s="344">
        <f t="shared" si="10"/>
        <v>307.68647225450633</v>
      </c>
      <c r="Q104" s="344">
        <f t="shared" si="10"/>
        <v>0</v>
      </c>
      <c r="R104" s="344">
        <f t="shared" si="10"/>
        <v>0</v>
      </c>
      <c r="S104" s="344">
        <f t="shared" si="10"/>
        <v>0</v>
      </c>
      <c r="T104" s="344">
        <f t="shared" si="10"/>
        <v>0</v>
      </c>
      <c r="U104" s="344">
        <f t="shared" si="10"/>
        <v>0</v>
      </c>
      <c r="V104" s="344">
        <f t="shared" si="10"/>
        <v>0</v>
      </c>
      <c r="W104" s="344">
        <f t="shared" si="10"/>
        <v>0</v>
      </c>
      <c r="X104" s="344">
        <f t="shared" si="10"/>
        <v>498.32981028380851</v>
      </c>
      <c r="Y104" s="344">
        <f t="shared" si="10"/>
        <v>498.32981028380851</v>
      </c>
    </row>
    <row r="105" spans="3:27" x14ac:dyDescent="0.25">
      <c r="E105" s="88"/>
      <c r="F105" t="s">
        <v>160</v>
      </c>
      <c r="G105" t="s">
        <v>271</v>
      </c>
      <c r="H105" s="51"/>
      <c r="J105" s="344">
        <f t="shared" ref="J105:Y105" si="11" xml:space="preserve"> J94 + J48</f>
        <v>0</v>
      </c>
      <c r="K105" s="344">
        <f t="shared" si="11"/>
        <v>0</v>
      </c>
      <c r="L105" s="344">
        <f t="shared" si="11"/>
        <v>0</v>
      </c>
      <c r="M105" s="344">
        <f t="shared" si="11"/>
        <v>0</v>
      </c>
      <c r="N105" s="344">
        <f t="shared" si="11"/>
        <v>5.1440159705455697</v>
      </c>
      <c r="O105" s="344">
        <f t="shared" si="11"/>
        <v>8.3306434828431062</v>
      </c>
      <c r="P105" s="344">
        <f t="shared" si="11"/>
        <v>11.113457295581</v>
      </c>
      <c r="Q105" s="344">
        <f t="shared" si="11"/>
        <v>0</v>
      </c>
      <c r="R105" s="344">
        <f t="shared" si="11"/>
        <v>0</v>
      </c>
      <c r="S105" s="344">
        <f t="shared" si="11"/>
        <v>0</v>
      </c>
      <c r="T105" s="344">
        <f t="shared" si="11"/>
        <v>0</v>
      </c>
      <c r="U105" s="344">
        <f t="shared" si="11"/>
        <v>0</v>
      </c>
      <c r="V105" s="344">
        <f t="shared" si="11"/>
        <v>0</v>
      </c>
      <c r="W105" s="344">
        <f t="shared" si="11"/>
        <v>0</v>
      </c>
      <c r="X105" s="344">
        <f t="shared" si="11"/>
        <v>0</v>
      </c>
      <c r="Y105" s="344">
        <f t="shared" si="11"/>
        <v>0</v>
      </c>
    </row>
    <row r="106" spans="3:27" x14ac:dyDescent="0.25">
      <c r="E106" s="88"/>
      <c r="F106" t="s">
        <v>161</v>
      </c>
      <c r="G106" t="s">
        <v>271</v>
      </c>
      <c r="H106" s="51"/>
      <c r="J106" s="344">
        <f t="shared" ref="J106:Y106" si="12" xml:space="preserve"> J95 + J49</f>
        <v>0</v>
      </c>
      <c r="K106" s="344">
        <f t="shared" si="12"/>
        <v>0</v>
      </c>
      <c r="L106" s="344">
        <f t="shared" si="12"/>
        <v>0</v>
      </c>
      <c r="M106" s="344">
        <f t="shared" si="12"/>
        <v>0</v>
      </c>
      <c r="N106" s="344">
        <f t="shared" si="12"/>
        <v>9.1762338963144749</v>
      </c>
      <c r="O106" s="344">
        <f t="shared" si="12"/>
        <v>11.393186401103572</v>
      </c>
      <c r="P106" s="344">
        <f t="shared" si="12"/>
        <v>13.027486250063824</v>
      </c>
      <c r="Q106" s="344">
        <f t="shared" si="12"/>
        <v>0</v>
      </c>
      <c r="R106" s="344">
        <f t="shared" si="12"/>
        <v>0</v>
      </c>
      <c r="S106" s="344">
        <f t="shared" si="12"/>
        <v>0</v>
      </c>
      <c r="T106" s="344">
        <f t="shared" si="12"/>
        <v>0</v>
      </c>
      <c r="U106" s="344">
        <f t="shared" si="12"/>
        <v>0</v>
      </c>
      <c r="V106" s="344">
        <f t="shared" si="12"/>
        <v>0</v>
      </c>
      <c r="W106" s="344">
        <f t="shared" si="12"/>
        <v>0</v>
      </c>
      <c r="X106" s="344">
        <f t="shared" si="12"/>
        <v>0</v>
      </c>
      <c r="Y106" s="344">
        <f t="shared" si="12"/>
        <v>0</v>
      </c>
    </row>
    <row r="107" spans="3:27" x14ac:dyDescent="0.25">
      <c r="E107" s="88"/>
      <c r="F107" s="37" t="s">
        <v>162</v>
      </c>
      <c r="G107" s="37" t="s">
        <v>272</v>
      </c>
      <c r="H107" s="291"/>
      <c r="I107" s="276"/>
      <c r="J107" s="292">
        <f t="shared" ref="J107:Y107" si="13" xml:space="preserve"> J96 + J50</f>
        <v>0</v>
      </c>
      <c r="K107" s="292">
        <f t="shared" si="13"/>
        <v>0</v>
      </c>
      <c r="L107" s="292">
        <f t="shared" si="13"/>
        <v>0</v>
      </c>
      <c r="M107" s="292">
        <f t="shared" si="13"/>
        <v>0</v>
      </c>
      <c r="N107" s="292">
        <f t="shared" si="13"/>
        <v>0.27331421440687764</v>
      </c>
      <c r="O107" s="292">
        <f t="shared" si="13"/>
        <v>0.1268234960859709</v>
      </c>
      <c r="P107" s="292">
        <f t="shared" si="13"/>
        <v>8.943027690120936E-2</v>
      </c>
      <c r="Q107" s="292">
        <f t="shared" si="13"/>
        <v>0</v>
      </c>
      <c r="R107" s="292">
        <f t="shared" si="13"/>
        <v>0</v>
      </c>
      <c r="S107" s="292">
        <f t="shared" si="13"/>
        <v>0</v>
      </c>
      <c r="T107" s="292">
        <f t="shared" si="13"/>
        <v>0.26353316215755945</v>
      </c>
      <c r="U107" s="292">
        <f t="shared" si="13"/>
        <v>0</v>
      </c>
      <c r="V107" s="292">
        <f t="shared" si="13"/>
        <v>0.22238816388478141</v>
      </c>
      <c r="W107" s="292">
        <f t="shared" si="13"/>
        <v>0</v>
      </c>
      <c r="X107" s="292">
        <f t="shared" si="13"/>
        <v>0.20330260311142292</v>
      </c>
      <c r="Y107" s="292">
        <f t="shared" si="13"/>
        <v>0</v>
      </c>
      <c r="Z107" s="272"/>
      <c r="AA107" s="272"/>
    </row>
    <row r="108" spans="3:27" x14ac:dyDescent="0.25">
      <c r="E108" s="32"/>
      <c r="J108" s="89"/>
      <c r="K108" s="89"/>
      <c r="L108" s="89"/>
      <c r="M108" s="89"/>
      <c r="N108" s="89"/>
      <c r="O108" s="89"/>
      <c r="P108" s="89"/>
      <c r="Q108" s="89"/>
      <c r="R108" s="89"/>
      <c r="S108" s="89"/>
      <c r="T108" s="89"/>
      <c r="U108" s="89"/>
      <c r="V108" s="89"/>
      <c r="W108" s="89"/>
      <c r="X108" s="89"/>
      <c r="Y108" s="89"/>
    </row>
    <row r="109" spans="3:27" x14ac:dyDescent="0.25">
      <c r="E109" s="32" t="s">
        <v>1053</v>
      </c>
      <c r="I109" t="s">
        <v>154</v>
      </c>
      <c r="J109" s="89"/>
      <c r="K109" s="89"/>
      <c r="L109" s="89"/>
      <c r="M109" s="89"/>
      <c r="N109" s="89"/>
      <c r="O109" s="89"/>
      <c r="P109" s="89"/>
      <c r="Q109" s="89"/>
      <c r="R109" s="89"/>
      <c r="S109" s="89"/>
      <c r="T109" s="89"/>
      <c r="U109" s="89"/>
      <c r="V109" s="89"/>
      <c r="W109" s="89"/>
      <c r="X109" s="89"/>
      <c r="Y109" s="89"/>
      <c r="AA109" t="s">
        <v>1066</v>
      </c>
    </row>
    <row r="110" spans="3:27" x14ac:dyDescent="0.25">
      <c r="E110" s="88"/>
      <c r="F110" s="23" t="s">
        <v>156</v>
      </c>
      <c r="G110" s="23" t="s">
        <v>269</v>
      </c>
      <c r="H110" s="286"/>
      <c r="I110" s="270"/>
      <c r="J110" s="289">
        <f xml:space="preserve"> J90 * (1 - J55) + J44</f>
        <v>7.8738668188315826</v>
      </c>
      <c r="K110" s="289">
        <f t="shared" ref="K110:N110" si="14" xml:space="preserve"> K90 * (1 - K55) + K44</f>
        <v>7.8738668188315826</v>
      </c>
      <c r="L110" s="289">
        <f t="shared" si="14"/>
        <v>8.1806233389812189</v>
      </c>
      <c r="M110" s="289">
        <f t="shared" si="14"/>
        <v>8.1806233389812189</v>
      </c>
      <c r="N110" s="289">
        <f t="shared" si="14"/>
        <v>6.3997459659126656</v>
      </c>
      <c r="O110" s="288"/>
      <c r="P110" s="288"/>
      <c r="Q110" s="289">
        <f t="shared" ref="Q110:R110" si="15" xml:space="preserve"> Q90 * (1 - Q55) + Q44</f>
        <v>16.474847291650011</v>
      </c>
      <c r="R110" s="289">
        <f t="shared" si="15"/>
        <v>-7.0400663600224984</v>
      </c>
      <c r="S110" s="288"/>
      <c r="T110" s="289">
        <f t="shared" ref="T110" si="16" xml:space="preserve"> T90 * (1 - T55) + T44</f>
        <v>-7.0400663600224984</v>
      </c>
      <c r="U110" s="288"/>
      <c r="V110" s="288"/>
      <c r="W110" s="288"/>
      <c r="X110" s="288"/>
      <c r="Y110" s="288"/>
      <c r="Z110" s="272"/>
      <c r="AA110" s="272"/>
    </row>
    <row r="111" spans="3:27" x14ac:dyDescent="0.25">
      <c r="E111" s="88"/>
      <c r="F111" t="s">
        <v>157</v>
      </c>
      <c r="G111" t="s">
        <v>269</v>
      </c>
      <c r="H111" s="287"/>
      <c r="I111" s="272"/>
      <c r="J111" s="343">
        <f t="shared" ref="J111:N116" si="17" xml:space="preserve"> J91 * (1 - J56) + J45</f>
        <v>2.0209661231181135</v>
      </c>
      <c r="K111" s="343">
        <f t="shared" si="17"/>
        <v>2.0209661231181135</v>
      </c>
      <c r="L111" s="343">
        <f t="shared" si="17"/>
        <v>2.0684714995812774</v>
      </c>
      <c r="M111" s="343">
        <f t="shared" si="17"/>
        <v>2.0684714995812774</v>
      </c>
      <c r="N111" s="343">
        <f t="shared" si="17"/>
        <v>1.7866507501501523</v>
      </c>
      <c r="O111" s="273"/>
      <c r="P111" s="273"/>
      <c r="Q111" s="343">
        <f t="shared" ref="Q111:R111" si="18" xml:space="preserve"> Q91 * (1 - Q56) + Q45</f>
        <v>3.6100485597140608</v>
      </c>
      <c r="R111" s="343">
        <f t="shared" si="18"/>
        <v>-1.0902490437542633</v>
      </c>
      <c r="S111" s="273"/>
      <c r="T111" s="343">
        <f t="shared" ref="T111" si="19" xml:space="preserve"> T91 * (1 - T56) + T45</f>
        <v>-1.0902490437542633</v>
      </c>
      <c r="U111" s="273"/>
      <c r="V111" s="273"/>
      <c r="W111" s="273"/>
      <c r="X111" s="273"/>
      <c r="Y111" s="273"/>
      <c r="Z111" s="272"/>
      <c r="AA111" s="272"/>
    </row>
    <row r="112" spans="3:27" x14ac:dyDescent="0.25">
      <c r="E112" s="88"/>
      <c r="F112" t="s">
        <v>158</v>
      </c>
      <c r="G112" t="s">
        <v>269</v>
      </c>
      <c r="H112" s="287"/>
      <c r="I112" s="272"/>
      <c r="J112" s="343">
        <f t="shared" si="17"/>
        <v>1.4409849506516184</v>
      </c>
      <c r="K112" s="343">
        <f t="shared" si="17"/>
        <v>1.4409849506516184</v>
      </c>
      <c r="L112" s="343">
        <f t="shared" si="17"/>
        <v>1.462800367538212</v>
      </c>
      <c r="M112" s="343">
        <f t="shared" si="17"/>
        <v>1.462800367538212</v>
      </c>
      <c r="N112" s="343">
        <f t="shared" si="17"/>
        <v>1.3315932490499076</v>
      </c>
      <c r="O112" s="273"/>
      <c r="P112" s="273"/>
      <c r="Q112" s="343">
        <f t="shared" ref="Q112:R112" si="20" xml:space="preserve"> Q92 * (1 - Q57) + Q46</f>
        <v>2.8979649895235058</v>
      </c>
      <c r="R112" s="343">
        <f t="shared" si="20"/>
        <v>-0.5006641178425727</v>
      </c>
      <c r="S112" s="273"/>
      <c r="T112" s="343">
        <f t="shared" ref="T112" si="21" xml:space="preserve"> T92 * (1 - T57) + T46</f>
        <v>-0.5006641178425727</v>
      </c>
      <c r="U112" s="273"/>
      <c r="V112" s="273"/>
      <c r="W112" s="273"/>
      <c r="X112" s="273"/>
      <c r="Y112" s="273"/>
      <c r="Z112" s="272"/>
      <c r="AA112" s="272"/>
    </row>
    <row r="113" spans="1:27" x14ac:dyDescent="0.25">
      <c r="E113" s="88"/>
      <c r="F113" t="s">
        <v>159</v>
      </c>
      <c r="G113" t="s">
        <v>270</v>
      </c>
      <c r="H113" s="51"/>
      <c r="J113" s="344">
        <f t="shared" si="17"/>
        <v>5.1625787872395454</v>
      </c>
      <c r="K113" s="344">
        <f t="shared" si="17"/>
        <v>0</v>
      </c>
      <c r="L113" s="344">
        <f t="shared" si="17"/>
        <v>7.17348781845849</v>
      </c>
      <c r="M113" s="344">
        <f t="shared" si="17"/>
        <v>0</v>
      </c>
      <c r="N113" s="344">
        <f t="shared" si="17"/>
        <v>21.310757546623762</v>
      </c>
      <c r="O113" s="79"/>
      <c r="P113" s="79"/>
      <c r="Q113" s="344">
        <f t="shared" ref="Q113:R113" si="22" xml:space="preserve"> Q93 * (1 - Q58) + Q47</f>
        <v>0</v>
      </c>
      <c r="R113" s="344">
        <f t="shared" si="22"/>
        <v>0</v>
      </c>
      <c r="S113" s="79"/>
      <c r="T113" s="344">
        <f t="shared" ref="T113" si="23" xml:space="preserve"> T93 * (1 - T58) + T47</f>
        <v>0</v>
      </c>
      <c r="U113" s="79"/>
      <c r="V113" s="79"/>
      <c r="W113" s="79"/>
      <c r="X113" s="79"/>
      <c r="Y113" s="79"/>
    </row>
    <row r="114" spans="1:27" x14ac:dyDescent="0.25">
      <c r="E114" s="88"/>
      <c r="F114" t="s">
        <v>160</v>
      </c>
      <c r="G114" t="s">
        <v>271</v>
      </c>
      <c r="H114" s="51"/>
      <c r="J114" s="344">
        <f t="shared" si="17"/>
        <v>0</v>
      </c>
      <c r="K114" s="344">
        <f t="shared" si="17"/>
        <v>0</v>
      </c>
      <c r="L114" s="344">
        <f t="shared" si="17"/>
        <v>0</v>
      </c>
      <c r="M114" s="344">
        <f t="shared" si="17"/>
        <v>0</v>
      </c>
      <c r="N114" s="344">
        <f t="shared" si="17"/>
        <v>3.627595181363712</v>
      </c>
      <c r="O114" s="79"/>
      <c r="P114" s="79"/>
      <c r="Q114" s="344">
        <f t="shared" ref="Q114:R114" si="24" xml:space="preserve"> Q94 * (1 - Q59) + Q48</f>
        <v>0</v>
      </c>
      <c r="R114" s="344">
        <f t="shared" si="24"/>
        <v>0</v>
      </c>
      <c r="S114" s="79"/>
      <c r="T114" s="344">
        <f t="shared" ref="T114" si="25" xml:space="preserve"> T94 * (1 - T59) + T48</f>
        <v>0</v>
      </c>
      <c r="U114" s="79"/>
      <c r="V114" s="79"/>
      <c r="W114" s="79"/>
      <c r="X114" s="79"/>
      <c r="Y114" s="79"/>
    </row>
    <row r="115" spans="1:27" x14ac:dyDescent="0.25">
      <c r="E115" s="88"/>
      <c r="F115" t="s">
        <v>161</v>
      </c>
      <c r="G115" t="s">
        <v>271</v>
      </c>
      <c r="H115" s="51"/>
      <c r="J115" s="344">
        <f t="shared" si="17"/>
        <v>0</v>
      </c>
      <c r="K115" s="344">
        <f t="shared" si="17"/>
        <v>0</v>
      </c>
      <c r="L115" s="344">
        <f t="shared" si="17"/>
        <v>0</v>
      </c>
      <c r="M115" s="344">
        <f t="shared" si="17"/>
        <v>0</v>
      </c>
      <c r="N115" s="344">
        <f t="shared" si="17"/>
        <v>6.471142791146173</v>
      </c>
      <c r="O115" s="79"/>
      <c r="P115" s="79"/>
      <c r="Q115" s="344">
        <f t="shared" ref="Q115:R115" si="26" xml:space="preserve"> Q95 * (1 - Q60) + Q49</f>
        <v>0</v>
      </c>
      <c r="R115" s="344">
        <f t="shared" si="26"/>
        <v>0</v>
      </c>
      <c r="S115" s="79"/>
      <c r="T115" s="344">
        <f t="shared" ref="T115" si="27" xml:space="preserve"> T95 * (1 - T60) + T49</f>
        <v>0</v>
      </c>
      <c r="U115" s="79"/>
      <c r="V115" s="79"/>
      <c r="W115" s="79"/>
      <c r="X115" s="79"/>
      <c r="Y115" s="79"/>
    </row>
    <row r="116" spans="1:27" x14ac:dyDescent="0.25">
      <c r="E116" s="88"/>
      <c r="F116" s="37" t="s">
        <v>162</v>
      </c>
      <c r="G116" s="37" t="s">
        <v>272</v>
      </c>
      <c r="H116" s="291"/>
      <c r="I116" s="276"/>
      <c r="J116" s="292">
        <f t="shared" si="17"/>
        <v>0</v>
      </c>
      <c r="K116" s="292">
        <f t="shared" si="17"/>
        <v>0</v>
      </c>
      <c r="L116" s="292">
        <f t="shared" si="17"/>
        <v>0</v>
      </c>
      <c r="M116" s="292">
        <f t="shared" si="17"/>
        <v>0</v>
      </c>
      <c r="N116" s="292">
        <f t="shared" si="17"/>
        <v>0.19274304995508074</v>
      </c>
      <c r="O116" s="277"/>
      <c r="P116" s="277"/>
      <c r="Q116" s="292">
        <f t="shared" ref="Q116:R116" si="28" xml:space="preserve"> Q96 * (1 - Q61) + Q50</f>
        <v>0</v>
      </c>
      <c r="R116" s="292">
        <f t="shared" si="28"/>
        <v>0</v>
      </c>
      <c r="S116" s="277"/>
      <c r="T116" s="292">
        <f t="shared" ref="T116" si="29" xml:space="preserve"> T96 * (1 - T61) + T50</f>
        <v>0.26353316215755945</v>
      </c>
      <c r="U116" s="277"/>
      <c r="V116" s="277"/>
      <c r="W116" s="277"/>
      <c r="X116" s="277"/>
      <c r="Y116" s="277"/>
      <c r="Z116" s="272"/>
      <c r="AA116" s="272"/>
    </row>
    <row r="117" spans="1:27" x14ac:dyDescent="0.25">
      <c r="E117" s="88"/>
      <c r="J117" s="89"/>
      <c r="K117" s="89"/>
      <c r="L117" s="89"/>
      <c r="M117" s="89"/>
      <c r="N117" s="89"/>
      <c r="O117" s="89"/>
      <c r="P117" s="89"/>
      <c r="Q117" s="89"/>
      <c r="R117" s="89"/>
      <c r="S117" s="89"/>
      <c r="T117" s="89"/>
      <c r="U117" s="89"/>
      <c r="V117" s="89"/>
      <c r="W117" s="89"/>
      <c r="X117" s="89"/>
      <c r="Y117" s="89"/>
    </row>
    <row r="118" spans="1:27" x14ac:dyDescent="0.25">
      <c r="E118" s="32" t="s">
        <v>1054</v>
      </c>
      <c r="I118" t="s">
        <v>154</v>
      </c>
      <c r="J118" s="89"/>
      <c r="K118" s="89"/>
      <c r="L118" s="89"/>
      <c r="M118" s="89"/>
      <c r="N118" s="89"/>
      <c r="O118" s="89"/>
      <c r="P118" s="89"/>
      <c r="Q118" s="89"/>
      <c r="R118" s="89"/>
      <c r="S118" s="89"/>
      <c r="T118" s="89"/>
      <c r="U118" s="89"/>
      <c r="V118" s="89"/>
      <c r="W118" s="89"/>
      <c r="X118" s="89"/>
      <c r="Y118" s="89"/>
      <c r="AA118" t="s">
        <v>1066</v>
      </c>
    </row>
    <row r="119" spans="1:27" x14ac:dyDescent="0.25">
      <c r="C119" s="88"/>
      <c r="F119" s="23" t="s">
        <v>156</v>
      </c>
      <c r="G119" s="23" t="s">
        <v>269</v>
      </c>
      <c r="H119" s="286"/>
      <c r="I119" s="270"/>
      <c r="J119" s="289">
        <f>J90 * (1 - J64) + J44</f>
        <v>5.0445272573283413</v>
      </c>
      <c r="K119" s="289">
        <f t="shared" ref="K119:T119" si="30">K90 * (1 - K64) + K44</f>
        <v>5.0445272573283413</v>
      </c>
      <c r="L119" s="289">
        <f t="shared" si="30"/>
        <v>5.2410560611375558</v>
      </c>
      <c r="M119" s="289">
        <f t="shared" si="30"/>
        <v>5.2410560611375558</v>
      </c>
      <c r="N119" s="289">
        <f t="shared" si="30"/>
        <v>4.1001065560077858</v>
      </c>
      <c r="O119" s="289">
        <f t="shared" si="30"/>
        <v>3.4484951228665048</v>
      </c>
      <c r="P119" s="289">
        <f t="shared" si="30"/>
        <v>2.9311243599973582</v>
      </c>
      <c r="Q119" s="289">
        <f t="shared" si="30"/>
        <v>10.554892295648836</v>
      </c>
      <c r="R119" s="289">
        <f t="shared" si="30"/>
        <v>-7.0400663600224984</v>
      </c>
      <c r="S119" s="289">
        <f t="shared" si="30"/>
        <v>-6.3183521781843845</v>
      </c>
      <c r="T119" s="289">
        <f t="shared" si="30"/>
        <v>-7.0400663600224984</v>
      </c>
      <c r="U119" s="288"/>
      <c r="V119" s="289">
        <f t="shared" ref="V119" si="31">V90 * (1 - V64) + V44</f>
        <v>-6.3183521781843845</v>
      </c>
      <c r="W119" s="288"/>
      <c r="X119" s="289">
        <f t="shared" ref="X119" si="32">X90 * (1 - X64) + X44</f>
        <v>-3.4601529888602931</v>
      </c>
      <c r="Y119" s="288"/>
      <c r="Z119" s="272"/>
      <c r="AA119" s="272"/>
    </row>
    <row r="120" spans="1:27" x14ac:dyDescent="0.25">
      <c r="C120" s="88"/>
      <c r="F120" t="s">
        <v>157</v>
      </c>
      <c r="G120" t="s">
        <v>269</v>
      </c>
      <c r="H120" s="287"/>
      <c r="I120" s="272"/>
      <c r="J120" s="343">
        <f t="shared" ref="J120:T125" si="33">J91 * (1 - J65) + J45</f>
        <v>1.294766463387977</v>
      </c>
      <c r="K120" s="343">
        <f t="shared" si="33"/>
        <v>1.294766463387977</v>
      </c>
      <c r="L120" s="343">
        <f t="shared" si="33"/>
        <v>1.3252015941759314</v>
      </c>
      <c r="M120" s="343">
        <f t="shared" si="33"/>
        <v>1.3252015941759314</v>
      </c>
      <c r="N120" s="343">
        <f t="shared" si="33"/>
        <v>1.1446483177621232</v>
      </c>
      <c r="O120" s="343">
        <f t="shared" si="33"/>
        <v>1.2646028911605207</v>
      </c>
      <c r="P120" s="343">
        <f t="shared" si="33"/>
        <v>1.2483769580606361</v>
      </c>
      <c r="Q120" s="343">
        <f t="shared" si="33"/>
        <v>2.3128392667503692</v>
      </c>
      <c r="R120" s="343">
        <f t="shared" si="33"/>
        <v>-1.0902490437542633</v>
      </c>
      <c r="S120" s="343">
        <f t="shared" si="33"/>
        <v>-0.97545424417849347</v>
      </c>
      <c r="T120" s="343">
        <f t="shared" si="33"/>
        <v>-1.0902490437542633</v>
      </c>
      <c r="U120" s="273"/>
      <c r="V120" s="343">
        <f t="shared" ref="V120" si="34">V91 * (1 - V65) + V45</f>
        <v>-0.97545424417849347</v>
      </c>
      <c r="W120" s="273"/>
      <c r="X120" s="343">
        <f t="shared" ref="X120" si="35">X91 * (1 - X65) + X45</f>
        <v>-0.51650220466529395</v>
      </c>
      <c r="Y120" s="273"/>
      <c r="Z120" s="272"/>
      <c r="AA120" s="272"/>
    </row>
    <row r="121" spans="1:27" x14ac:dyDescent="0.25">
      <c r="C121" s="88"/>
      <c r="F121" t="s">
        <v>158</v>
      </c>
      <c r="G121" t="s">
        <v>269</v>
      </c>
      <c r="H121" s="287"/>
      <c r="I121" s="272"/>
      <c r="J121" s="343">
        <f t="shared" si="33"/>
        <v>0.92319161959621476</v>
      </c>
      <c r="K121" s="343">
        <f t="shared" si="33"/>
        <v>0.92319161959621476</v>
      </c>
      <c r="L121" s="343">
        <f t="shared" si="33"/>
        <v>0.93716803901585799</v>
      </c>
      <c r="M121" s="343">
        <f t="shared" si="33"/>
        <v>0.93716803901585799</v>
      </c>
      <c r="N121" s="343">
        <f t="shared" si="33"/>
        <v>0.85310795763541392</v>
      </c>
      <c r="O121" s="343">
        <f t="shared" si="33"/>
        <v>1.0531060838908335</v>
      </c>
      <c r="P121" s="343">
        <f t="shared" si="33"/>
        <v>1.0887632487030854</v>
      </c>
      <c r="Q121" s="343">
        <f t="shared" si="33"/>
        <v>1.8566307656450667</v>
      </c>
      <c r="R121" s="343">
        <f t="shared" si="33"/>
        <v>-0.5006641178425727</v>
      </c>
      <c r="S121" s="343">
        <f t="shared" si="33"/>
        <v>-0.44704928923359355</v>
      </c>
      <c r="T121" s="343">
        <f t="shared" si="33"/>
        <v>-0.5006641178425727</v>
      </c>
      <c r="U121" s="273"/>
      <c r="V121" s="343">
        <f t="shared" ref="V121" si="36">V92 * (1 - V66) + V46</f>
        <v>-0.44704928923359355</v>
      </c>
      <c r="W121" s="273"/>
      <c r="X121" s="343">
        <f t="shared" ref="X121" si="37">X92 * (1 - X66) + X46</f>
        <v>-0.23144428706139836</v>
      </c>
      <c r="Y121" s="273"/>
      <c r="Z121" s="272"/>
      <c r="AA121" s="272"/>
    </row>
    <row r="122" spans="1:27" x14ac:dyDescent="0.25">
      <c r="C122" s="88"/>
      <c r="F122" t="s">
        <v>159</v>
      </c>
      <c r="G122" t="s">
        <v>270</v>
      </c>
      <c r="H122" s="51"/>
      <c r="J122" s="344">
        <f t="shared" si="33"/>
        <v>3.4856594111268557</v>
      </c>
      <c r="K122" s="344">
        <f t="shared" si="33"/>
        <v>0</v>
      </c>
      <c r="L122" s="344">
        <f t="shared" si="33"/>
        <v>4.7587838780298837</v>
      </c>
      <c r="M122" s="344">
        <f t="shared" si="33"/>
        <v>0</v>
      </c>
      <c r="N122" s="344">
        <f t="shared" si="33"/>
        <v>13.816067183529739</v>
      </c>
      <c r="O122" s="344">
        <f t="shared" si="33"/>
        <v>36.365989699841776</v>
      </c>
      <c r="P122" s="344">
        <f t="shared" si="33"/>
        <v>220.80865168109221</v>
      </c>
      <c r="Q122" s="344">
        <f t="shared" si="33"/>
        <v>0</v>
      </c>
      <c r="R122" s="344">
        <f t="shared" si="33"/>
        <v>0</v>
      </c>
      <c r="S122" s="344">
        <f t="shared" si="33"/>
        <v>0</v>
      </c>
      <c r="T122" s="344">
        <f t="shared" si="33"/>
        <v>0</v>
      </c>
      <c r="U122" s="79"/>
      <c r="V122" s="344">
        <f t="shared" ref="V122" si="38">V93 * (1 - V67) + V47</f>
        <v>0</v>
      </c>
      <c r="W122" s="79"/>
      <c r="X122" s="344">
        <f t="shared" ref="X122" si="39">X93 * (1 - X67) + X47</f>
        <v>0</v>
      </c>
      <c r="Y122" s="79"/>
    </row>
    <row r="123" spans="1:27" x14ac:dyDescent="0.25">
      <c r="C123" s="88"/>
      <c r="F123" t="s">
        <v>160</v>
      </c>
      <c r="G123" t="s">
        <v>271</v>
      </c>
      <c r="H123" s="51"/>
      <c r="J123" s="344">
        <f t="shared" si="33"/>
        <v>0</v>
      </c>
      <c r="K123" s="344">
        <f t="shared" si="33"/>
        <v>0</v>
      </c>
      <c r="L123" s="344">
        <f t="shared" si="33"/>
        <v>0</v>
      </c>
      <c r="M123" s="344">
        <f t="shared" si="33"/>
        <v>0</v>
      </c>
      <c r="N123" s="344">
        <f t="shared" si="33"/>
        <v>2.3240808095935881</v>
      </c>
      <c r="O123" s="344">
        <f t="shared" si="33"/>
        <v>5.4591548997331181</v>
      </c>
      <c r="P123" s="344">
        <f t="shared" si="33"/>
        <v>7.9708485459014469</v>
      </c>
      <c r="Q123" s="344">
        <f t="shared" si="33"/>
        <v>0</v>
      </c>
      <c r="R123" s="344">
        <f t="shared" si="33"/>
        <v>0</v>
      </c>
      <c r="S123" s="344">
        <f t="shared" si="33"/>
        <v>0</v>
      </c>
      <c r="T123" s="344">
        <f t="shared" si="33"/>
        <v>0</v>
      </c>
      <c r="U123" s="79"/>
      <c r="V123" s="344">
        <f t="shared" ref="V123" si="40">V94 * (1 - V68) + V48</f>
        <v>0</v>
      </c>
      <c r="W123" s="79"/>
      <c r="X123" s="344">
        <f t="shared" ref="X123" si="41">X94 * (1 - X68) + X48</f>
        <v>0</v>
      </c>
      <c r="Y123" s="79"/>
    </row>
    <row r="124" spans="1:27" x14ac:dyDescent="0.25">
      <c r="C124" s="88"/>
      <c r="F124" t="s">
        <v>161</v>
      </c>
      <c r="G124" t="s">
        <v>271</v>
      </c>
      <c r="H124" s="51"/>
      <c r="J124" s="344">
        <f t="shared" si="33"/>
        <v>0</v>
      </c>
      <c r="K124" s="344">
        <f t="shared" si="33"/>
        <v>0</v>
      </c>
      <c r="L124" s="344">
        <f t="shared" si="33"/>
        <v>0</v>
      </c>
      <c r="M124" s="344">
        <f t="shared" si="33"/>
        <v>0</v>
      </c>
      <c r="N124" s="344">
        <f t="shared" si="33"/>
        <v>4.1458481514988028</v>
      </c>
      <c r="O124" s="344">
        <f t="shared" si="33"/>
        <v>7.4660702373414329</v>
      </c>
      <c r="P124" s="344">
        <f t="shared" si="33"/>
        <v>9.3436378141626424</v>
      </c>
      <c r="Q124" s="344">
        <f t="shared" si="33"/>
        <v>0</v>
      </c>
      <c r="R124" s="344">
        <f t="shared" si="33"/>
        <v>0</v>
      </c>
      <c r="S124" s="344">
        <f t="shared" si="33"/>
        <v>0</v>
      </c>
      <c r="T124" s="344">
        <f t="shared" si="33"/>
        <v>0</v>
      </c>
      <c r="U124" s="79"/>
      <c r="V124" s="344">
        <f t="shared" ref="V124" si="42">V95 * (1 - V69) + V49</f>
        <v>0</v>
      </c>
      <c r="W124" s="79"/>
      <c r="X124" s="344">
        <f t="shared" ref="X124" si="43">X95 * (1 - X69) + X49</f>
        <v>0</v>
      </c>
      <c r="Y124" s="79"/>
    </row>
    <row r="125" spans="1:27" x14ac:dyDescent="0.25">
      <c r="C125" s="88"/>
      <c r="F125" s="37" t="s">
        <v>162</v>
      </c>
      <c r="G125" s="37" t="s">
        <v>272</v>
      </c>
      <c r="H125" s="291"/>
      <c r="I125" s="276"/>
      <c r="J125" s="292">
        <f t="shared" si="33"/>
        <v>0</v>
      </c>
      <c r="K125" s="292">
        <f t="shared" si="33"/>
        <v>0</v>
      </c>
      <c r="L125" s="292">
        <f t="shared" si="33"/>
        <v>0</v>
      </c>
      <c r="M125" s="292">
        <f t="shared" si="33"/>
        <v>0</v>
      </c>
      <c r="N125" s="292">
        <f t="shared" si="33"/>
        <v>0.12348412686300476</v>
      </c>
      <c r="O125" s="292">
        <f t="shared" si="33"/>
        <v>8.3108719210574722E-2</v>
      </c>
      <c r="P125" s="292">
        <f t="shared" si="33"/>
        <v>6.4141623406517273E-2</v>
      </c>
      <c r="Q125" s="292">
        <f t="shared" si="33"/>
        <v>0</v>
      </c>
      <c r="R125" s="292">
        <f t="shared" si="33"/>
        <v>0</v>
      </c>
      <c r="S125" s="292">
        <f t="shared" si="33"/>
        <v>0</v>
      </c>
      <c r="T125" s="292">
        <f t="shared" si="33"/>
        <v>0.26353316215755945</v>
      </c>
      <c r="U125" s="277"/>
      <c r="V125" s="292">
        <f t="shared" ref="V125" si="44">V96 * (1 - V70) + V50</f>
        <v>0.22238816388478141</v>
      </c>
      <c r="W125" s="277"/>
      <c r="X125" s="292">
        <f t="shared" ref="X125" si="45">X96 * (1 - X70) + X50</f>
        <v>0.20330260311142292</v>
      </c>
      <c r="Y125" s="277"/>
      <c r="Z125" s="272"/>
      <c r="AA125" s="272"/>
    </row>
    <row r="126" spans="1:27" x14ac:dyDescent="0.25">
      <c r="A126" s="272"/>
      <c r="B126" s="272"/>
      <c r="C126" s="272"/>
      <c r="D126" s="272"/>
      <c r="E126" s="272"/>
      <c r="F126" s="272"/>
      <c r="G126" s="272"/>
      <c r="H126" s="272"/>
      <c r="I126" s="272"/>
      <c r="J126" s="272"/>
      <c r="K126" s="272"/>
      <c r="L126" s="272"/>
      <c r="M126" s="272"/>
      <c r="N126" s="272"/>
      <c r="O126" s="272"/>
      <c r="P126" s="272"/>
      <c r="Q126" s="272"/>
      <c r="R126" s="272"/>
      <c r="S126" s="272"/>
      <c r="T126" s="272"/>
      <c r="U126" s="272"/>
      <c r="V126" s="272"/>
      <c r="W126" s="272"/>
      <c r="X126" s="272"/>
      <c r="Y126" s="272"/>
      <c r="Z126" s="272"/>
      <c r="AA126" s="272"/>
    </row>
    <row r="127" spans="1:27" x14ac:dyDescent="0.25">
      <c r="C127" s="31" t="str">
        <f ca="1">INDEX('Version control'!$H$34:$H$57,MATCH($A$1,'Version control'!$F$34:$F$57,0),1)&amp;"-H: Tariff forecast, post-rounding"</f>
        <v>Section 117-H: Tariff forecast, post-rounding</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1:27" x14ac:dyDescent="0.25">
      <c r="J128" s="89"/>
      <c r="K128" s="89"/>
      <c r="L128" s="89"/>
      <c r="M128" s="89"/>
      <c r="N128" s="89"/>
      <c r="O128" s="89"/>
      <c r="P128" s="89"/>
      <c r="Q128" s="89"/>
      <c r="R128" s="89"/>
      <c r="S128" s="89"/>
      <c r="T128" s="89"/>
      <c r="U128" s="89"/>
      <c r="V128" s="89"/>
      <c r="W128" s="89"/>
      <c r="X128" s="89"/>
      <c r="Y128" s="89"/>
    </row>
    <row r="129" spans="5:27" x14ac:dyDescent="0.25">
      <c r="E129" s="32" t="s">
        <v>865</v>
      </c>
      <c r="F129" s="32"/>
      <c r="I129" t="s">
        <v>154</v>
      </c>
      <c r="J129" s="89"/>
      <c r="K129" s="89"/>
      <c r="L129" s="89"/>
      <c r="M129" s="89"/>
      <c r="N129" s="89"/>
      <c r="O129" s="89"/>
      <c r="P129" s="89"/>
      <c r="Q129" s="89"/>
      <c r="R129" s="89"/>
      <c r="S129" s="89"/>
      <c r="T129" s="89"/>
      <c r="U129" s="89"/>
      <c r="V129" s="89"/>
      <c r="W129" s="89"/>
      <c r="X129" s="89"/>
      <c r="Y129" s="89"/>
      <c r="AA129" t="s">
        <v>155</v>
      </c>
    </row>
    <row r="130" spans="5:27" x14ac:dyDescent="0.25">
      <c r="E130" s="88"/>
      <c r="F130" s="23" t="s">
        <v>156</v>
      </c>
      <c r="G130" s="23" t="s">
        <v>269</v>
      </c>
      <c r="H130" s="286"/>
      <c r="I130" s="270"/>
      <c r="J130" s="279">
        <f t="shared" ref="J130:Y130" si="46">ROUND(J101, $H75)</f>
        <v>11.164999999999999</v>
      </c>
      <c r="K130" s="279">
        <f t="shared" si="46"/>
        <v>11.164999999999999</v>
      </c>
      <c r="L130" s="279">
        <f t="shared" si="46"/>
        <v>11.6</v>
      </c>
      <c r="M130" s="279">
        <f t="shared" si="46"/>
        <v>11.6</v>
      </c>
      <c r="N130" s="279">
        <f t="shared" si="46"/>
        <v>9.0749999999999993</v>
      </c>
      <c r="O130" s="279">
        <f t="shared" si="46"/>
        <v>5.2619999999999996</v>
      </c>
      <c r="P130" s="279">
        <f t="shared" si="46"/>
        <v>4.0869999999999997</v>
      </c>
      <c r="Q130" s="279">
        <f t="shared" si="46"/>
        <v>23.361999999999998</v>
      </c>
      <c r="R130" s="279">
        <f t="shared" si="46"/>
        <v>-7.04</v>
      </c>
      <c r="S130" s="279">
        <f t="shared" si="46"/>
        <v>-6.3179999999999996</v>
      </c>
      <c r="T130" s="279">
        <f t="shared" si="46"/>
        <v>-7.04</v>
      </c>
      <c r="U130" s="279">
        <f t="shared" si="46"/>
        <v>-7.04</v>
      </c>
      <c r="V130" s="279">
        <f t="shared" si="46"/>
        <v>-6.3179999999999996</v>
      </c>
      <c r="W130" s="279">
        <f t="shared" si="46"/>
        <v>-6.3179999999999996</v>
      </c>
      <c r="X130" s="279">
        <f t="shared" si="46"/>
        <v>-3.46</v>
      </c>
      <c r="Y130" s="279">
        <f t="shared" si="46"/>
        <v>-3.46</v>
      </c>
      <c r="Z130" s="272"/>
      <c r="AA130" s="272"/>
    </row>
    <row r="131" spans="5:27" x14ac:dyDescent="0.25">
      <c r="E131" s="88"/>
      <c r="F131" t="s">
        <v>157</v>
      </c>
      <c r="G131" t="s">
        <v>269</v>
      </c>
      <c r="H131" s="287"/>
      <c r="I131" s="272"/>
      <c r="J131" s="280">
        <f t="shared" ref="J131:Y136" si="47">ROUND(J102, $H76)</f>
        <v>2.8660000000000001</v>
      </c>
      <c r="K131" s="280">
        <f t="shared" si="47"/>
        <v>2.8660000000000001</v>
      </c>
      <c r="L131" s="280">
        <f t="shared" si="47"/>
        <v>2.9329999999999998</v>
      </c>
      <c r="M131" s="280">
        <f t="shared" si="47"/>
        <v>2.9329999999999998</v>
      </c>
      <c r="N131" s="280">
        <f t="shared" si="47"/>
        <v>2.5339999999999998</v>
      </c>
      <c r="O131" s="280">
        <f t="shared" si="47"/>
        <v>1.93</v>
      </c>
      <c r="P131" s="280">
        <f t="shared" si="47"/>
        <v>1.7410000000000001</v>
      </c>
      <c r="Q131" s="280">
        <f t="shared" si="47"/>
        <v>5.1189999999999998</v>
      </c>
      <c r="R131" s="280">
        <f t="shared" si="47"/>
        <v>-1.0900000000000001</v>
      </c>
      <c r="S131" s="280">
        <f t="shared" si="47"/>
        <v>-0.97499999999999998</v>
      </c>
      <c r="T131" s="280">
        <f t="shared" si="47"/>
        <v>-1.0900000000000001</v>
      </c>
      <c r="U131" s="280">
        <f t="shared" si="47"/>
        <v>-1.0900000000000001</v>
      </c>
      <c r="V131" s="280">
        <f t="shared" si="47"/>
        <v>-0.97499999999999998</v>
      </c>
      <c r="W131" s="280">
        <f t="shared" si="47"/>
        <v>-0.97499999999999998</v>
      </c>
      <c r="X131" s="280">
        <f t="shared" si="47"/>
        <v>-0.51700000000000002</v>
      </c>
      <c r="Y131" s="280">
        <f t="shared" si="47"/>
        <v>-0.51700000000000002</v>
      </c>
      <c r="Z131" s="272"/>
      <c r="AA131" s="272"/>
    </row>
    <row r="132" spans="5:27" x14ac:dyDescent="0.25">
      <c r="E132" s="88"/>
      <c r="F132" t="s">
        <v>158</v>
      </c>
      <c r="G132" t="s">
        <v>269</v>
      </c>
      <c r="H132" s="287"/>
      <c r="I132" s="272"/>
      <c r="J132" s="280">
        <f t="shared" si="47"/>
        <v>2.0430000000000001</v>
      </c>
      <c r="K132" s="280">
        <f t="shared" si="47"/>
        <v>2.0430000000000001</v>
      </c>
      <c r="L132" s="280">
        <f t="shared" si="47"/>
        <v>2.0739999999999998</v>
      </c>
      <c r="M132" s="280">
        <f t="shared" si="47"/>
        <v>2.0739999999999998</v>
      </c>
      <c r="N132" s="280">
        <f t="shared" si="47"/>
        <v>1.8879999999999999</v>
      </c>
      <c r="O132" s="280">
        <f t="shared" si="47"/>
        <v>1.607</v>
      </c>
      <c r="P132" s="280">
        <f t="shared" si="47"/>
        <v>1.518</v>
      </c>
      <c r="Q132" s="280">
        <f t="shared" si="47"/>
        <v>4.109</v>
      </c>
      <c r="R132" s="280">
        <f t="shared" si="47"/>
        <v>-0.501</v>
      </c>
      <c r="S132" s="280">
        <f t="shared" si="47"/>
        <v>-0.44700000000000001</v>
      </c>
      <c r="T132" s="280">
        <f t="shared" si="47"/>
        <v>-0.501</v>
      </c>
      <c r="U132" s="280">
        <f t="shared" si="47"/>
        <v>-0.501</v>
      </c>
      <c r="V132" s="280">
        <f t="shared" si="47"/>
        <v>-0.44700000000000001</v>
      </c>
      <c r="W132" s="280">
        <f t="shared" si="47"/>
        <v>-0.44700000000000001</v>
      </c>
      <c r="X132" s="280">
        <f t="shared" si="47"/>
        <v>-0.23100000000000001</v>
      </c>
      <c r="Y132" s="280">
        <f t="shared" si="47"/>
        <v>-0.23100000000000001</v>
      </c>
      <c r="Z132" s="272"/>
      <c r="AA132" s="272"/>
    </row>
    <row r="133" spans="5:27" x14ac:dyDescent="0.25">
      <c r="E133" s="88"/>
      <c r="F133" t="s">
        <v>159</v>
      </c>
      <c r="G133" t="s">
        <v>270</v>
      </c>
      <c r="H133" s="51"/>
      <c r="J133" s="121">
        <f t="shared" si="47"/>
        <v>7.11</v>
      </c>
      <c r="K133" s="121">
        <f t="shared" si="47"/>
        <v>0</v>
      </c>
      <c r="L133" s="121">
        <f t="shared" si="47"/>
        <v>9.98</v>
      </c>
      <c r="M133" s="121">
        <f t="shared" si="47"/>
        <v>0</v>
      </c>
      <c r="N133" s="121">
        <f t="shared" si="47"/>
        <v>30.03</v>
      </c>
      <c r="O133" s="121">
        <f t="shared" si="47"/>
        <v>55.26</v>
      </c>
      <c r="P133" s="121">
        <f t="shared" si="47"/>
        <v>307.69</v>
      </c>
      <c r="Q133" s="121">
        <f t="shared" si="47"/>
        <v>0</v>
      </c>
      <c r="R133" s="121">
        <f t="shared" si="47"/>
        <v>0</v>
      </c>
      <c r="S133" s="121">
        <f t="shared" si="47"/>
        <v>0</v>
      </c>
      <c r="T133" s="121">
        <f t="shared" si="47"/>
        <v>0</v>
      </c>
      <c r="U133" s="121">
        <f t="shared" si="47"/>
        <v>0</v>
      </c>
      <c r="V133" s="121">
        <f t="shared" si="47"/>
        <v>0</v>
      </c>
      <c r="W133" s="121">
        <f t="shared" si="47"/>
        <v>0</v>
      </c>
      <c r="X133" s="121">
        <f t="shared" si="47"/>
        <v>498.33</v>
      </c>
      <c r="Y133" s="121">
        <f t="shared" si="47"/>
        <v>498.33</v>
      </c>
    </row>
    <row r="134" spans="5:27" x14ac:dyDescent="0.25">
      <c r="E134" s="88"/>
      <c r="F134" t="s">
        <v>160</v>
      </c>
      <c r="G134" t="s">
        <v>271</v>
      </c>
      <c r="H134" s="51"/>
      <c r="J134" s="121">
        <f t="shared" si="47"/>
        <v>0</v>
      </c>
      <c r="K134" s="121">
        <f t="shared" si="47"/>
        <v>0</v>
      </c>
      <c r="L134" s="121">
        <f t="shared" si="47"/>
        <v>0</v>
      </c>
      <c r="M134" s="121">
        <f t="shared" si="47"/>
        <v>0</v>
      </c>
      <c r="N134" s="121">
        <f t="shared" si="47"/>
        <v>5.14</v>
      </c>
      <c r="O134" s="121">
        <f t="shared" si="47"/>
        <v>8.33</v>
      </c>
      <c r="P134" s="121">
        <f t="shared" si="47"/>
        <v>11.11</v>
      </c>
      <c r="Q134" s="121">
        <f t="shared" si="47"/>
        <v>0</v>
      </c>
      <c r="R134" s="121">
        <f t="shared" si="47"/>
        <v>0</v>
      </c>
      <c r="S134" s="121">
        <f t="shared" si="47"/>
        <v>0</v>
      </c>
      <c r="T134" s="121">
        <f t="shared" si="47"/>
        <v>0</v>
      </c>
      <c r="U134" s="121">
        <f t="shared" si="47"/>
        <v>0</v>
      </c>
      <c r="V134" s="121">
        <f t="shared" si="47"/>
        <v>0</v>
      </c>
      <c r="W134" s="121">
        <f t="shared" si="47"/>
        <v>0</v>
      </c>
      <c r="X134" s="121">
        <f t="shared" si="47"/>
        <v>0</v>
      </c>
      <c r="Y134" s="121">
        <f t="shared" si="47"/>
        <v>0</v>
      </c>
    </row>
    <row r="135" spans="5:27" x14ac:dyDescent="0.25">
      <c r="E135" s="88"/>
      <c r="F135" t="s">
        <v>161</v>
      </c>
      <c r="G135" t="s">
        <v>271</v>
      </c>
      <c r="H135" s="51"/>
      <c r="J135" s="121">
        <f t="shared" si="47"/>
        <v>0</v>
      </c>
      <c r="K135" s="121">
        <f t="shared" si="47"/>
        <v>0</v>
      </c>
      <c r="L135" s="121">
        <f t="shared" si="47"/>
        <v>0</v>
      </c>
      <c r="M135" s="121">
        <f t="shared" si="47"/>
        <v>0</v>
      </c>
      <c r="N135" s="121">
        <f t="shared" si="47"/>
        <v>9.18</v>
      </c>
      <c r="O135" s="121">
        <f t="shared" si="47"/>
        <v>11.39</v>
      </c>
      <c r="P135" s="121">
        <f t="shared" si="47"/>
        <v>13.03</v>
      </c>
      <c r="Q135" s="121">
        <f t="shared" si="47"/>
        <v>0</v>
      </c>
      <c r="R135" s="121">
        <f t="shared" si="47"/>
        <v>0</v>
      </c>
      <c r="S135" s="121">
        <f t="shared" si="47"/>
        <v>0</v>
      </c>
      <c r="T135" s="121">
        <f t="shared" si="47"/>
        <v>0</v>
      </c>
      <c r="U135" s="121">
        <f t="shared" si="47"/>
        <v>0</v>
      </c>
      <c r="V135" s="121">
        <f t="shared" si="47"/>
        <v>0</v>
      </c>
      <c r="W135" s="121">
        <f t="shared" si="47"/>
        <v>0</v>
      </c>
      <c r="X135" s="121">
        <f t="shared" si="47"/>
        <v>0</v>
      </c>
      <c r="Y135" s="121">
        <f t="shared" si="47"/>
        <v>0</v>
      </c>
    </row>
    <row r="136" spans="5:27" x14ac:dyDescent="0.25">
      <c r="E136" s="88"/>
      <c r="F136" s="37" t="s">
        <v>162</v>
      </c>
      <c r="G136" s="37" t="s">
        <v>272</v>
      </c>
      <c r="H136" s="291"/>
      <c r="I136" s="276"/>
      <c r="J136" s="281">
        <f t="shared" si="47"/>
        <v>0</v>
      </c>
      <c r="K136" s="281">
        <f t="shared" si="47"/>
        <v>0</v>
      </c>
      <c r="L136" s="281">
        <f t="shared" si="47"/>
        <v>0</v>
      </c>
      <c r="M136" s="281">
        <f t="shared" si="47"/>
        <v>0</v>
      </c>
      <c r="N136" s="281">
        <f t="shared" si="47"/>
        <v>0.27300000000000002</v>
      </c>
      <c r="O136" s="281">
        <f t="shared" si="47"/>
        <v>0.127</v>
      </c>
      <c r="P136" s="281">
        <f t="shared" si="47"/>
        <v>8.8999999999999996E-2</v>
      </c>
      <c r="Q136" s="281">
        <f t="shared" si="47"/>
        <v>0</v>
      </c>
      <c r="R136" s="281">
        <f t="shared" si="47"/>
        <v>0</v>
      </c>
      <c r="S136" s="281">
        <f t="shared" si="47"/>
        <v>0</v>
      </c>
      <c r="T136" s="281">
        <f t="shared" si="47"/>
        <v>0.26400000000000001</v>
      </c>
      <c r="U136" s="281">
        <f t="shared" si="47"/>
        <v>0</v>
      </c>
      <c r="V136" s="281">
        <f t="shared" si="47"/>
        <v>0.222</v>
      </c>
      <c r="W136" s="281">
        <f t="shared" si="47"/>
        <v>0</v>
      </c>
      <c r="X136" s="281">
        <f t="shared" si="47"/>
        <v>0.20300000000000001</v>
      </c>
      <c r="Y136" s="281">
        <f t="shared" si="47"/>
        <v>0</v>
      </c>
      <c r="Z136" s="272"/>
      <c r="AA136" s="272"/>
    </row>
    <row r="137" spans="5:27" x14ac:dyDescent="0.25">
      <c r="E137" s="32"/>
      <c r="J137" s="89"/>
      <c r="K137" s="89"/>
      <c r="L137" s="89"/>
      <c r="M137" s="89"/>
      <c r="N137" s="89"/>
      <c r="O137" s="89"/>
      <c r="P137" s="89"/>
      <c r="Q137" s="89"/>
      <c r="R137" s="89"/>
      <c r="S137" s="89"/>
      <c r="T137" s="89"/>
      <c r="U137" s="89"/>
      <c r="V137" s="89"/>
      <c r="W137" s="89"/>
      <c r="X137" s="89"/>
      <c r="Y137" s="89"/>
    </row>
    <row r="138" spans="5:27" x14ac:dyDescent="0.25">
      <c r="E138" s="32" t="s">
        <v>866</v>
      </c>
      <c r="I138" t="s">
        <v>154</v>
      </c>
      <c r="J138" s="89"/>
      <c r="K138" s="89"/>
      <c r="L138" s="89"/>
      <c r="M138" s="89"/>
      <c r="N138" s="89"/>
      <c r="O138" s="89"/>
      <c r="P138" s="89"/>
      <c r="Q138" s="89"/>
      <c r="R138" s="89"/>
      <c r="S138" s="89"/>
      <c r="T138" s="89"/>
      <c r="U138" s="89"/>
      <c r="V138" s="89"/>
      <c r="W138" s="89"/>
      <c r="X138" s="89"/>
      <c r="Y138" s="89"/>
      <c r="AA138" t="s">
        <v>155</v>
      </c>
    </row>
    <row r="139" spans="5:27" x14ac:dyDescent="0.25">
      <c r="E139" s="88"/>
      <c r="F139" s="23" t="s">
        <v>156</v>
      </c>
      <c r="G139" s="23" t="s">
        <v>269</v>
      </c>
      <c r="H139" s="286"/>
      <c r="I139" s="270"/>
      <c r="J139" s="279">
        <f>ROUND(J110, $H75)</f>
        <v>7.8739999999999997</v>
      </c>
      <c r="K139" s="279">
        <f>ROUND(K110, $H75)</f>
        <v>7.8739999999999997</v>
      </c>
      <c r="L139" s="279">
        <f>ROUND(L110, $H75)</f>
        <v>8.1809999999999992</v>
      </c>
      <c r="M139" s="279">
        <f>ROUND(M110, $H75)</f>
        <v>8.1809999999999992</v>
      </c>
      <c r="N139" s="279">
        <f>ROUND(N110, $H75)</f>
        <v>6.4</v>
      </c>
      <c r="O139" s="288"/>
      <c r="P139" s="288"/>
      <c r="Q139" s="279">
        <f>ROUND(Q110, $H75)</f>
        <v>16.475000000000001</v>
      </c>
      <c r="R139" s="279">
        <f>ROUND(R110, $H75)</f>
        <v>-7.04</v>
      </c>
      <c r="S139" s="288"/>
      <c r="T139" s="279">
        <f>ROUND(T110, $H75)</f>
        <v>-7.04</v>
      </c>
      <c r="U139" s="288"/>
      <c r="V139" s="288"/>
      <c r="W139" s="288"/>
      <c r="X139" s="288"/>
      <c r="Y139" s="288"/>
      <c r="Z139" s="272"/>
      <c r="AA139" s="272"/>
    </row>
    <row r="140" spans="5:27" x14ac:dyDescent="0.25">
      <c r="E140" s="88"/>
      <c r="F140" t="s">
        <v>157</v>
      </c>
      <c r="G140" t="s">
        <v>269</v>
      </c>
      <c r="H140" s="287"/>
      <c r="I140" s="272"/>
      <c r="J140" s="280">
        <f t="shared" ref="J140:N145" si="48">ROUND(J111, $H76)</f>
        <v>2.0209999999999999</v>
      </c>
      <c r="K140" s="280">
        <f t="shared" si="48"/>
        <v>2.0209999999999999</v>
      </c>
      <c r="L140" s="280">
        <f t="shared" si="48"/>
        <v>2.0680000000000001</v>
      </c>
      <c r="M140" s="280">
        <f t="shared" si="48"/>
        <v>2.0680000000000001</v>
      </c>
      <c r="N140" s="280">
        <f t="shared" si="48"/>
        <v>1.7869999999999999</v>
      </c>
      <c r="O140" s="273"/>
      <c r="P140" s="273"/>
      <c r="Q140" s="280">
        <f t="shared" ref="Q140:R145" si="49">ROUND(Q111, $H76)</f>
        <v>3.61</v>
      </c>
      <c r="R140" s="280">
        <f t="shared" si="49"/>
        <v>-1.0900000000000001</v>
      </c>
      <c r="S140" s="273"/>
      <c r="T140" s="280">
        <f t="shared" ref="T140:T145" si="50">ROUND(T111, $H76)</f>
        <v>-1.0900000000000001</v>
      </c>
      <c r="U140" s="273"/>
      <c r="V140" s="273"/>
      <c r="W140" s="273"/>
      <c r="X140" s="273"/>
      <c r="Y140" s="273"/>
      <c r="Z140" s="272"/>
      <c r="AA140" s="272"/>
    </row>
    <row r="141" spans="5:27" x14ac:dyDescent="0.25">
      <c r="E141" s="88"/>
      <c r="F141" t="s">
        <v>158</v>
      </c>
      <c r="G141" t="s">
        <v>269</v>
      </c>
      <c r="H141" s="287"/>
      <c r="I141" s="272"/>
      <c r="J141" s="280">
        <f t="shared" si="48"/>
        <v>1.4410000000000001</v>
      </c>
      <c r="K141" s="280">
        <f t="shared" si="48"/>
        <v>1.4410000000000001</v>
      </c>
      <c r="L141" s="280">
        <f t="shared" si="48"/>
        <v>1.4630000000000001</v>
      </c>
      <c r="M141" s="280">
        <f t="shared" si="48"/>
        <v>1.4630000000000001</v>
      </c>
      <c r="N141" s="280">
        <f t="shared" si="48"/>
        <v>1.3320000000000001</v>
      </c>
      <c r="O141" s="273"/>
      <c r="P141" s="273"/>
      <c r="Q141" s="280">
        <f t="shared" si="49"/>
        <v>2.8980000000000001</v>
      </c>
      <c r="R141" s="280">
        <f t="shared" si="49"/>
        <v>-0.501</v>
      </c>
      <c r="S141" s="273"/>
      <c r="T141" s="280">
        <f t="shared" si="50"/>
        <v>-0.501</v>
      </c>
      <c r="U141" s="273"/>
      <c r="V141" s="273"/>
      <c r="W141" s="273"/>
      <c r="X141" s="273"/>
      <c r="Y141" s="273"/>
      <c r="Z141" s="272"/>
      <c r="AA141" s="272"/>
    </row>
    <row r="142" spans="5:27" x14ac:dyDescent="0.25">
      <c r="E142" s="88"/>
      <c r="F142" t="s">
        <v>159</v>
      </c>
      <c r="G142" t="s">
        <v>270</v>
      </c>
      <c r="H142" s="51"/>
      <c r="J142" s="121">
        <f t="shared" si="48"/>
        <v>5.16</v>
      </c>
      <c r="K142" s="121">
        <f t="shared" si="48"/>
        <v>0</v>
      </c>
      <c r="L142" s="121">
        <f t="shared" si="48"/>
        <v>7.17</v>
      </c>
      <c r="M142" s="121">
        <f t="shared" si="48"/>
        <v>0</v>
      </c>
      <c r="N142" s="121">
        <f t="shared" si="48"/>
        <v>21.31</v>
      </c>
      <c r="O142" s="79"/>
      <c r="P142" s="79"/>
      <c r="Q142" s="121">
        <f t="shared" si="49"/>
        <v>0</v>
      </c>
      <c r="R142" s="121">
        <f t="shared" si="49"/>
        <v>0</v>
      </c>
      <c r="S142" s="79"/>
      <c r="T142" s="121">
        <f t="shared" si="50"/>
        <v>0</v>
      </c>
      <c r="U142" s="79"/>
      <c r="V142" s="79"/>
      <c r="W142" s="79"/>
      <c r="X142" s="79"/>
      <c r="Y142" s="79"/>
    </row>
    <row r="143" spans="5:27" x14ac:dyDescent="0.25">
      <c r="E143" s="88"/>
      <c r="F143" t="s">
        <v>160</v>
      </c>
      <c r="G143" t="s">
        <v>271</v>
      </c>
      <c r="H143" s="51"/>
      <c r="J143" s="121">
        <f t="shared" si="48"/>
        <v>0</v>
      </c>
      <c r="K143" s="121">
        <f t="shared" si="48"/>
        <v>0</v>
      </c>
      <c r="L143" s="121">
        <f t="shared" si="48"/>
        <v>0</v>
      </c>
      <c r="M143" s="121">
        <f t="shared" si="48"/>
        <v>0</v>
      </c>
      <c r="N143" s="121">
        <f t="shared" si="48"/>
        <v>3.63</v>
      </c>
      <c r="O143" s="79"/>
      <c r="P143" s="79"/>
      <c r="Q143" s="121">
        <f t="shared" si="49"/>
        <v>0</v>
      </c>
      <c r="R143" s="121">
        <f t="shared" si="49"/>
        <v>0</v>
      </c>
      <c r="S143" s="79"/>
      <c r="T143" s="121">
        <f t="shared" si="50"/>
        <v>0</v>
      </c>
      <c r="U143" s="79"/>
      <c r="V143" s="79"/>
      <c r="W143" s="79"/>
      <c r="X143" s="79"/>
      <c r="Y143" s="79"/>
    </row>
    <row r="144" spans="5:27" x14ac:dyDescent="0.25">
      <c r="E144" s="88"/>
      <c r="F144" t="s">
        <v>161</v>
      </c>
      <c r="G144" t="s">
        <v>271</v>
      </c>
      <c r="H144" s="51"/>
      <c r="J144" s="121">
        <f t="shared" si="48"/>
        <v>0</v>
      </c>
      <c r="K144" s="121">
        <f t="shared" si="48"/>
        <v>0</v>
      </c>
      <c r="L144" s="121">
        <f t="shared" si="48"/>
        <v>0</v>
      </c>
      <c r="M144" s="121">
        <f t="shared" si="48"/>
        <v>0</v>
      </c>
      <c r="N144" s="121">
        <f t="shared" si="48"/>
        <v>6.47</v>
      </c>
      <c r="O144" s="79"/>
      <c r="P144" s="79"/>
      <c r="Q144" s="121">
        <f t="shared" si="49"/>
        <v>0</v>
      </c>
      <c r="R144" s="121">
        <f t="shared" si="49"/>
        <v>0</v>
      </c>
      <c r="S144" s="79"/>
      <c r="T144" s="121">
        <f t="shared" si="50"/>
        <v>0</v>
      </c>
      <c r="U144" s="79"/>
      <c r="V144" s="79"/>
      <c r="W144" s="79"/>
      <c r="X144" s="79"/>
      <c r="Y144" s="79"/>
    </row>
    <row r="145" spans="2:27" x14ac:dyDescent="0.25">
      <c r="E145" s="88"/>
      <c r="F145" s="37" t="s">
        <v>162</v>
      </c>
      <c r="G145" s="37" t="s">
        <v>272</v>
      </c>
      <c r="H145" s="291"/>
      <c r="I145" s="276"/>
      <c r="J145" s="281">
        <f t="shared" si="48"/>
        <v>0</v>
      </c>
      <c r="K145" s="281">
        <f t="shared" si="48"/>
        <v>0</v>
      </c>
      <c r="L145" s="281">
        <f t="shared" si="48"/>
        <v>0</v>
      </c>
      <c r="M145" s="281">
        <f t="shared" si="48"/>
        <v>0</v>
      </c>
      <c r="N145" s="281">
        <f t="shared" si="48"/>
        <v>0.193</v>
      </c>
      <c r="O145" s="277"/>
      <c r="P145" s="277"/>
      <c r="Q145" s="281">
        <f t="shared" si="49"/>
        <v>0</v>
      </c>
      <c r="R145" s="281">
        <f t="shared" si="49"/>
        <v>0</v>
      </c>
      <c r="S145" s="277"/>
      <c r="T145" s="281">
        <f t="shared" si="50"/>
        <v>0.26400000000000001</v>
      </c>
      <c r="U145" s="277"/>
      <c r="V145" s="277"/>
      <c r="W145" s="277"/>
      <c r="X145" s="277"/>
      <c r="Y145" s="277"/>
      <c r="Z145" s="272"/>
      <c r="AA145" s="272"/>
    </row>
    <row r="146" spans="2:27" x14ac:dyDescent="0.25">
      <c r="E146" s="88"/>
      <c r="J146" s="89"/>
      <c r="K146" s="89"/>
      <c r="L146" s="89"/>
      <c r="M146" s="89"/>
      <c r="N146" s="89"/>
      <c r="O146" s="89"/>
      <c r="P146" s="89"/>
      <c r="Q146" s="89"/>
      <c r="R146" s="89"/>
      <c r="S146" s="89"/>
      <c r="T146" s="89"/>
      <c r="U146" s="89"/>
      <c r="V146" s="89"/>
      <c r="W146" s="89"/>
      <c r="X146" s="89"/>
      <c r="Y146" s="89"/>
    </row>
    <row r="147" spans="2:27" x14ac:dyDescent="0.25">
      <c r="E147" s="32" t="s">
        <v>867</v>
      </c>
      <c r="I147" t="s">
        <v>154</v>
      </c>
      <c r="J147" s="89"/>
      <c r="K147" s="89"/>
      <c r="L147" s="89"/>
      <c r="M147" s="89"/>
      <c r="N147" s="89"/>
      <c r="O147" s="89"/>
      <c r="P147" s="89"/>
      <c r="Q147" s="89"/>
      <c r="R147" s="89"/>
      <c r="S147" s="89"/>
      <c r="T147" s="89"/>
      <c r="U147" s="89"/>
      <c r="V147" s="89"/>
      <c r="W147" s="89"/>
      <c r="X147" s="89"/>
      <c r="Y147" s="89"/>
      <c r="AA147" t="s">
        <v>155</v>
      </c>
    </row>
    <row r="148" spans="2:27" x14ac:dyDescent="0.25">
      <c r="C148" s="88"/>
      <c r="F148" s="23" t="s">
        <v>156</v>
      </c>
      <c r="G148" s="23" t="s">
        <v>269</v>
      </c>
      <c r="H148" s="286"/>
      <c r="I148" s="270"/>
      <c r="J148" s="279">
        <f t="shared" ref="J148:T148" si="51">ROUND( J119, $H75)</f>
        <v>5.0449999999999999</v>
      </c>
      <c r="K148" s="279">
        <f t="shared" si="51"/>
        <v>5.0449999999999999</v>
      </c>
      <c r="L148" s="279">
        <f t="shared" si="51"/>
        <v>5.2409999999999997</v>
      </c>
      <c r="M148" s="279">
        <f t="shared" si="51"/>
        <v>5.2409999999999997</v>
      </c>
      <c r="N148" s="279">
        <f t="shared" si="51"/>
        <v>4.0999999999999996</v>
      </c>
      <c r="O148" s="279">
        <f t="shared" si="51"/>
        <v>3.448</v>
      </c>
      <c r="P148" s="279">
        <f t="shared" si="51"/>
        <v>2.931</v>
      </c>
      <c r="Q148" s="279">
        <f t="shared" si="51"/>
        <v>10.555</v>
      </c>
      <c r="R148" s="279">
        <f t="shared" si="51"/>
        <v>-7.04</v>
      </c>
      <c r="S148" s="279">
        <f t="shared" si="51"/>
        <v>-6.3179999999999996</v>
      </c>
      <c r="T148" s="279">
        <f t="shared" si="51"/>
        <v>-7.04</v>
      </c>
      <c r="U148" s="288"/>
      <c r="V148" s="279">
        <f>ROUND( V119, $H75)</f>
        <v>-6.3179999999999996</v>
      </c>
      <c r="W148" s="288"/>
      <c r="X148" s="279">
        <f>ROUND( X119, $H75)</f>
        <v>-3.46</v>
      </c>
      <c r="Y148" s="288"/>
      <c r="Z148" s="272"/>
      <c r="AA148" s="272"/>
    </row>
    <row r="149" spans="2:27" x14ac:dyDescent="0.25">
      <c r="C149" s="88"/>
      <c r="F149" t="s">
        <v>157</v>
      </c>
      <c r="G149" t="s">
        <v>269</v>
      </c>
      <c r="H149" s="287"/>
      <c r="I149" s="272"/>
      <c r="J149" s="280">
        <f t="shared" ref="J149:T154" si="52">ROUND( J120, $H76)</f>
        <v>1.2949999999999999</v>
      </c>
      <c r="K149" s="280">
        <f t="shared" si="52"/>
        <v>1.2949999999999999</v>
      </c>
      <c r="L149" s="280">
        <f t="shared" si="52"/>
        <v>1.325</v>
      </c>
      <c r="M149" s="280">
        <f t="shared" si="52"/>
        <v>1.325</v>
      </c>
      <c r="N149" s="280">
        <f t="shared" si="52"/>
        <v>1.145</v>
      </c>
      <c r="O149" s="280">
        <f t="shared" si="52"/>
        <v>1.2649999999999999</v>
      </c>
      <c r="P149" s="280">
        <f t="shared" si="52"/>
        <v>1.248</v>
      </c>
      <c r="Q149" s="280">
        <f t="shared" si="52"/>
        <v>2.3130000000000002</v>
      </c>
      <c r="R149" s="280">
        <f t="shared" si="52"/>
        <v>-1.0900000000000001</v>
      </c>
      <c r="S149" s="280">
        <f t="shared" si="52"/>
        <v>-0.97499999999999998</v>
      </c>
      <c r="T149" s="280">
        <f t="shared" si="52"/>
        <v>-1.0900000000000001</v>
      </c>
      <c r="U149" s="273"/>
      <c r="V149" s="280">
        <f t="shared" ref="V149:V154" si="53">ROUND( V120, $H76)</f>
        <v>-0.97499999999999998</v>
      </c>
      <c r="W149" s="273"/>
      <c r="X149" s="280">
        <f t="shared" ref="X149:X154" si="54">ROUND( X120, $H76)</f>
        <v>-0.51700000000000002</v>
      </c>
      <c r="Y149" s="273"/>
      <c r="Z149" s="272"/>
      <c r="AA149" s="272"/>
    </row>
    <row r="150" spans="2:27" x14ac:dyDescent="0.25">
      <c r="C150" s="88"/>
      <c r="F150" t="s">
        <v>158</v>
      </c>
      <c r="G150" t="s">
        <v>269</v>
      </c>
      <c r="H150" s="287"/>
      <c r="I150" s="272"/>
      <c r="J150" s="280">
        <f t="shared" si="52"/>
        <v>0.92300000000000004</v>
      </c>
      <c r="K150" s="280">
        <f t="shared" si="52"/>
        <v>0.92300000000000004</v>
      </c>
      <c r="L150" s="280">
        <f t="shared" si="52"/>
        <v>0.93700000000000006</v>
      </c>
      <c r="M150" s="280">
        <f t="shared" si="52"/>
        <v>0.93700000000000006</v>
      </c>
      <c r="N150" s="280">
        <f t="shared" si="52"/>
        <v>0.85299999999999998</v>
      </c>
      <c r="O150" s="280">
        <f t="shared" si="52"/>
        <v>1.0529999999999999</v>
      </c>
      <c r="P150" s="280">
        <f t="shared" si="52"/>
        <v>1.089</v>
      </c>
      <c r="Q150" s="280">
        <f t="shared" si="52"/>
        <v>1.857</v>
      </c>
      <c r="R150" s="280">
        <f t="shared" si="52"/>
        <v>-0.501</v>
      </c>
      <c r="S150" s="280">
        <f t="shared" si="52"/>
        <v>-0.44700000000000001</v>
      </c>
      <c r="T150" s="280">
        <f t="shared" si="52"/>
        <v>-0.501</v>
      </c>
      <c r="U150" s="273"/>
      <c r="V150" s="280">
        <f t="shared" si="53"/>
        <v>-0.44700000000000001</v>
      </c>
      <c r="W150" s="273"/>
      <c r="X150" s="280">
        <f t="shared" si="54"/>
        <v>-0.23100000000000001</v>
      </c>
      <c r="Y150" s="273"/>
      <c r="Z150" s="272"/>
      <c r="AA150" s="272"/>
    </row>
    <row r="151" spans="2:27" x14ac:dyDescent="0.25">
      <c r="C151" s="88"/>
      <c r="F151" t="s">
        <v>159</v>
      </c>
      <c r="G151" t="s">
        <v>270</v>
      </c>
      <c r="H151" s="51"/>
      <c r="J151" s="121">
        <f t="shared" si="52"/>
        <v>3.49</v>
      </c>
      <c r="K151" s="121">
        <f t="shared" si="52"/>
        <v>0</v>
      </c>
      <c r="L151" s="121">
        <f t="shared" si="52"/>
        <v>4.76</v>
      </c>
      <c r="M151" s="121">
        <f t="shared" si="52"/>
        <v>0</v>
      </c>
      <c r="N151" s="121">
        <f t="shared" si="52"/>
        <v>13.82</v>
      </c>
      <c r="O151" s="121">
        <f t="shared" si="52"/>
        <v>36.369999999999997</v>
      </c>
      <c r="P151" s="121">
        <f t="shared" si="52"/>
        <v>220.81</v>
      </c>
      <c r="Q151" s="121">
        <f t="shared" si="52"/>
        <v>0</v>
      </c>
      <c r="R151" s="121">
        <f t="shared" si="52"/>
        <v>0</v>
      </c>
      <c r="S151" s="121">
        <f t="shared" si="52"/>
        <v>0</v>
      </c>
      <c r="T151" s="121">
        <f t="shared" si="52"/>
        <v>0</v>
      </c>
      <c r="U151" s="79"/>
      <c r="V151" s="121">
        <f t="shared" si="53"/>
        <v>0</v>
      </c>
      <c r="W151" s="79"/>
      <c r="X151" s="121">
        <f t="shared" si="54"/>
        <v>0</v>
      </c>
      <c r="Y151" s="79"/>
    </row>
    <row r="152" spans="2:27" x14ac:dyDescent="0.25">
      <c r="C152" s="88"/>
      <c r="F152" t="s">
        <v>160</v>
      </c>
      <c r="G152" t="s">
        <v>271</v>
      </c>
      <c r="H152" s="51"/>
      <c r="J152" s="121">
        <f t="shared" si="52"/>
        <v>0</v>
      </c>
      <c r="K152" s="121">
        <f t="shared" si="52"/>
        <v>0</v>
      </c>
      <c r="L152" s="121">
        <f t="shared" si="52"/>
        <v>0</v>
      </c>
      <c r="M152" s="121">
        <f t="shared" si="52"/>
        <v>0</v>
      </c>
      <c r="N152" s="121">
        <f t="shared" si="52"/>
        <v>2.3199999999999998</v>
      </c>
      <c r="O152" s="121">
        <f t="shared" si="52"/>
        <v>5.46</v>
      </c>
      <c r="P152" s="121">
        <f t="shared" si="52"/>
        <v>7.97</v>
      </c>
      <c r="Q152" s="121">
        <f t="shared" si="52"/>
        <v>0</v>
      </c>
      <c r="R152" s="121">
        <f t="shared" si="52"/>
        <v>0</v>
      </c>
      <c r="S152" s="121">
        <f t="shared" si="52"/>
        <v>0</v>
      </c>
      <c r="T152" s="121">
        <f t="shared" si="52"/>
        <v>0</v>
      </c>
      <c r="U152" s="79"/>
      <c r="V152" s="121">
        <f t="shared" si="53"/>
        <v>0</v>
      </c>
      <c r="W152" s="79"/>
      <c r="X152" s="121">
        <f t="shared" si="54"/>
        <v>0</v>
      </c>
      <c r="Y152" s="79"/>
    </row>
    <row r="153" spans="2:27" x14ac:dyDescent="0.25">
      <c r="C153" s="88"/>
      <c r="F153" t="s">
        <v>161</v>
      </c>
      <c r="G153" t="s">
        <v>271</v>
      </c>
      <c r="H153" s="51"/>
      <c r="J153" s="121">
        <f t="shared" si="52"/>
        <v>0</v>
      </c>
      <c r="K153" s="121">
        <f t="shared" si="52"/>
        <v>0</v>
      </c>
      <c r="L153" s="121">
        <f t="shared" si="52"/>
        <v>0</v>
      </c>
      <c r="M153" s="121">
        <f t="shared" si="52"/>
        <v>0</v>
      </c>
      <c r="N153" s="121">
        <f t="shared" si="52"/>
        <v>4.1500000000000004</v>
      </c>
      <c r="O153" s="121">
        <f t="shared" si="52"/>
        <v>7.47</v>
      </c>
      <c r="P153" s="121">
        <f t="shared" si="52"/>
        <v>9.34</v>
      </c>
      <c r="Q153" s="121">
        <f t="shared" si="52"/>
        <v>0</v>
      </c>
      <c r="R153" s="121">
        <f t="shared" si="52"/>
        <v>0</v>
      </c>
      <c r="S153" s="121">
        <f t="shared" si="52"/>
        <v>0</v>
      </c>
      <c r="T153" s="121">
        <f t="shared" si="52"/>
        <v>0</v>
      </c>
      <c r="U153" s="79"/>
      <c r="V153" s="121">
        <f t="shared" si="53"/>
        <v>0</v>
      </c>
      <c r="W153" s="79"/>
      <c r="X153" s="121">
        <f t="shared" si="54"/>
        <v>0</v>
      </c>
      <c r="Y153" s="79"/>
    </row>
    <row r="154" spans="2:27" x14ac:dyDescent="0.25">
      <c r="C154" s="88"/>
      <c r="F154" s="37" t="s">
        <v>162</v>
      </c>
      <c r="G154" s="37" t="s">
        <v>272</v>
      </c>
      <c r="H154" s="291"/>
      <c r="I154" s="276"/>
      <c r="J154" s="281">
        <f t="shared" si="52"/>
        <v>0</v>
      </c>
      <c r="K154" s="281">
        <f t="shared" si="52"/>
        <v>0</v>
      </c>
      <c r="L154" s="281">
        <f t="shared" si="52"/>
        <v>0</v>
      </c>
      <c r="M154" s="281">
        <f t="shared" si="52"/>
        <v>0</v>
      </c>
      <c r="N154" s="281">
        <f t="shared" si="52"/>
        <v>0.123</v>
      </c>
      <c r="O154" s="281">
        <f t="shared" si="52"/>
        <v>8.3000000000000004E-2</v>
      </c>
      <c r="P154" s="281">
        <f t="shared" si="52"/>
        <v>6.4000000000000001E-2</v>
      </c>
      <c r="Q154" s="281">
        <f t="shared" si="52"/>
        <v>0</v>
      </c>
      <c r="R154" s="281">
        <f t="shared" si="52"/>
        <v>0</v>
      </c>
      <c r="S154" s="281">
        <f t="shared" si="52"/>
        <v>0</v>
      </c>
      <c r="T154" s="281">
        <f t="shared" si="52"/>
        <v>0.26400000000000001</v>
      </c>
      <c r="U154" s="277"/>
      <c r="V154" s="281">
        <f t="shared" si="53"/>
        <v>0.222</v>
      </c>
      <c r="W154" s="277"/>
      <c r="X154" s="281">
        <f t="shared" si="54"/>
        <v>0.20300000000000001</v>
      </c>
      <c r="Y154" s="277"/>
      <c r="Z154" s="272"/>
      <c r="AA154" s="272"/>
    </row>
    <row r="155" spans="2:27" x14ac:dyDescent="0.25">
      <c r="C155" s="88"/>
    </row>
    <row r="156" spans="2:27" x14ac:dyDescent="0.25">
      <c r="B156" s="30" t="s">
        <v>231</v>
      </c>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row>
    <row r="158" spans="2:27" x14ac:dyDescent="0.25">
      <c r="E158" t="s">
        <v>232</v>
      </c>
      <c r="G158" s="6" t="s">
        <v>55</v>
      </c>
      <c r="H158" s="26">
        <f t="array" ref="H158">SUM(IF(ISERROR(H20:Y154), 1))</f>
        <v>0</v>
      </c>
    </row>
    <row r="160" spans="2:27" x14ac:dyDescent="0.25">
      <c r="B160" s="30" t="s">
        <v>106</v>
      </c>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row>
  </sheetData>
  <sheetProtection sheet="1" objects="1" formatCells="0" formatColumns="0" formatRows="0" sort="0" autoFilter="0"/>
  <conditionalFormatting sqref="H158">
    <cfRule type="cellIs" dxfId="23" priority="10" operator="greaterThan">
      <formula>0</formula>
    </cfRule>
  </conditionalFormatting>
  <conditionalFormatting sqref="A4:I4 Z4:XFD4">
    <cfRule type="expression" dxfId="22" priority="9">
      <formula>LEFT($A$4,1) &lt;&gt; "0"</formula>
    </cfRule>
  </conditionalFormatting>
  <conditionalFormatting sqref="N4:P4">
    <cfRule type="expression" dxfId="21" priority="8">
      <formula>LEFT($A$4,1) &lt;&gt; "0"</formula>
    </cfRule>
  </conditionalFormatting>
  <conditionalFormatting sqref="L4:M4">
    <cfRule type="expression" dxfId="20" priority="7">
      <formula>LEFT($A$4,1) &lt;&gt; "0"</formula>
    </cfRule>
  </conditionalFormatting>
  <conditionalFormatting sqref="J4:K4">
    <cfRule type="expression" dxfId="19" priority="6">
      <formula>LEFT($A$4,1) &lt;&gt; "0"</formula>
    </cfRule>
  </conditionalFormatting>
  <conditionalFormatting sqref="Q4">
    <cfRule type="expression" dxfId="18" priority="5">
      <formula>LEFT($A$4,1) &lt;&gt; "0"</formula>
    </cfRule>
  </conditionalFormatting>
  <conditionalFormatting sqref="R4:S4">
    <cfRule type="expression" dxfId="17" priority="4">
      <formula>LEFT($A$4,1) &lt;&gt; "0"</formula>
    </cfRule>
  </conditionalFormatting>
  <conditionalFormatting sqref="T4:U4">
    <cfRule type="expression" dxfId="16" priority="3">
      <formula>LEFT($A$4,1) &lt;&gt; "0"</formula>
    </cfRule>
  </conditionalFormatting>
  <conditionalFormatting sqref="V4:W4">
    <cfRule type="expression" dxfId="15" priority="2">
      <formula>LEFT($A$4,1) &lt;&gt; "0"</formula>
    </cfRule>
  </conditionalFormatting>
  <conditionalFormatting sqref="X4:Y4">
    <cfRule type="expression" dxfId="14" priority="1">
      <formula>LEFT($A$4,1) &lt;&gt; "0"</formula>
    </cfRule>
  </conditionalFormatting>
  <hyperlinks>
    <hyperlink ref="B5:F5" location="'Model map'!A1" display="Click here to return to model map" xr:uid="{00000000-0004-0000-1900-000000000000}"/>
    <hyperlink ref="AA74" location="'Aggreg'!B314" display="x1 = 3308. Unit rate 1 p/kWh (total) (in Summary of charges before revenue matching)" xr:uid="{00000000-0004-0000-1900-000001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1">
    <tabColor theme="4" tint="0.59999389629810485"/>
  </sheetPr>
  <dimension ref="A1:BI20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61" width="0" hidden="1" customWidth="1"/>
    <col min="62" max="16384" width="9.28515625" hidden="1"/>
  </cols>
  <sheetData>
    <row r="1" spans="1:27" s="1" customFormat="1" x14ac:dyDescent="0.25">
      <c r="A1" s="1" t="str">
        <f ca="1">MID(CELL("filename",A1),FIND("]",CELL("filename",A1))+1,255)</f>
        <v>Net revenue summary</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H199 &amp; IF(H199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868</v>
      </c>
    </row>
    <row r="10" spans="1:27" x14ac:dyDescent="0.25">
      <c r="C10" s="28"/>
    </row>
    <row r="11" spans="1:27" x14ac:dyDescent="0.25">
      <c r="B11" s="30" t="s">
        <v>869</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2" spans="1:27" x14ac:dyDescent="0.25">
      <c r="D12" s="2"/>
      <c r="E12" s="2"/>
    </row>
    <row r="13" spans="1:27" x14ac:dyDescent="0.25">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row>
    <row r="14" spans="1:27" x14ac:dyDescent="0.25">
      <c r="D14" s="32"/>
    </row>
    <row r="15" spans="1:27" x14ac:dyDescent="0.25">
      <c r="E15" s="32" t="s">
        <v>245</v>
      </c>
      <c r="I15" t="s">
        <v>154</v>
      </c>
      <c r="AA15" t="s">
        <v>246</v>
      </c>
    </row>
    <row r="16" spans="1:27" x14ac:dyDescent="0.25">
      <c r="F16" s="78" t="s">
        <v>247</v>
      </c>
      <c r="G16" s="78" t="s">
        <v>207</v>
      </c>
      <c r="H16" s="23"/>
      <c r="I16" s="23"/>
      <c r="J16" s="124">
        <f>'Inputs by customer type'!J21</f>
        <v>309997.02287506516</v>
      </c>
      <c r="K16" s="124">
        <f>'Inputs by customer type'!K21</f>
        <v>8828.0434583187307</v>
      </c>
      <c r="L16" s="124">
        <f>'Inputs by customer type'!L21</f>
        <v>102332.91509778659</v>
      </c>
      <c r="M16" s="124">
        <f>'Inputs by customer type'!M21</f>
        <v>3073.5191857693171</v>
      </c>
      <c r="N16" s="124">
        <f>'Inputs by customer type'!N21</f>
        <v>139476.11483398668</v>
      </c>
      <c r="O16" s="124">
        <f>'Inputs by customer type'!O21</f>
        <v>11182.587736095871</v>
      </c>
      <c r="P16" s="124">
        <f>'Inputs by customer type'!P21</f>
        <v>74688.838437210608</v>
      </c>
      <c r="Q16" s="124">
        <f>'Inputs by customer type'!Q21</f>
        <v>4332.2875548967631</v>
      </c>
      <c r="R16" s="124">
        <f>'Inputs by customer type'!R21</f>
        <v>658.01792802705074</v>
      </c>
      <c r="S16" s="124">
        <f>'Inputs by customer type'!S21</f>
        <v>0.40800000000000008</v>
      </c>
      <c r="T16" s="124">
        <f>'Inputs by customer type'!T21</f>
        <v>34142.676188495534</v>
      </c>
      <c r="U16" s="124">
        <f>'Inputs by customer type'!U21</f>
        <v>0</v>
      </c>
      <c r="V16" s="124">
        <f>'Inputs by customer type'!V21</f>
        <v>353.5321999999997</v>
      </c>
      <c r="W16" s="124">
        <f>'Inputs by customer type'!W21</f>
        <v>0</v>
      </c>
      <c r="X16" s="124">
        <f>'Inputs by customer type'!X21</f>
        <v>152551.54503003714</v>
      </c>
      <c r="Y16" s="124">
        <f>'Inputs by customer type'!Y21</f>
        <v>0</v>
      </c>
    </row>
    <row r="17" spans="5:27" x14ac:dyDescent="0.25">
      <c r="E17" s="28"/>
      <c r="F17" s="72" t="s">
        <v>248</v>
      </c>
      <c r="G17" s="72" t="s">
        <v>207</v>
      </c>
      <c r="J17" s="120">
        <f>'Inputs by customer type'!J22</f>
        <v>1214956.6019730598</v>
      </c>
      <c r="K17" s="120">
        <f>'Inputs by customer type'!K22</f>
        <v>150887.96998237175</v>
      </c>
      <c r="L17" s="120">
        <f>'Inputs by customer type'!L22</f>
        <v>545010.23369156569</v>
      </c>
      <c r="M17" s="120">
        <f>'Inputs by customer type'!M22</f>
        <v>14352.322991058796</v>
      </c>
      <c r="N17" s="120">
        <f>'Inputs by customer type'!N22</f>
        <v>738250.90644067922</v>
      </c>
      <c r="O17" s="120">
        <f>'Inputs by customer type'!O22</f>
        <v>57946.422351348258</v>
      </c>
      <c r="P17" s="120">
        <f>'Inputs by customer type'!P22</f>
        <v>375961.51333753037</v>
      </c>
      <c r="Q17" s="120">
        <f>'Inputs by customer type'!Q22</f>
        <v>30364.217494593478</v>
      </c>
      <c r="R17" s="120">
        <f>'Inputs by customer type'!R22</f>
        <v>3421.5412500488133</v>
      </c>
      <c r="S17" s="120">
        <f>'Inputs by customer type'!S22</f>
        <v>1.9430000000000009</v>
      </c>
      <c r="T17" s="120">
        <f>'Inputs by customer type'!T22</f>
        <v>178906.97316231087</v>
      </c>
      <c r="U17" s="120">
        <f>'Inputs by customer type'!U22</f>
        <v>0</v>
      </c>
      <c r="V17" s="120">
        <f>'Inputs by customer type'!V22</f>
        <v>1533.9735999999987</v>
      </c>
      <c r="W17" s="120">
        <f>'Inputs by customer type'!W22</f>
        <v>0</v>
      </c>
      <c r="X17" s="120">
        <f>'Inputs by customer type'!X22</f>
        <v>747480.09120044974</v>
      </c>
      <c r="Y17" s="120">
        <f>'Inputs by customer type'!Y22</f>
        <v>0</v>
      </c>
    </row>
    <row r="18" spans="5:27" x14ac:dyDescent="0.25">
      <c r="E18" s="28"/>
      <c r="F18" s="72" t="s">
        <v>249</v>
      </c>
      <c r="G18" s="72" t="s">
        <v>207</v>
      </c>
      <c r="J18" s="120">
        <f>'Inputs by customer type'!J23</f>
        <v>1071688.9301754655</v>
      </c>
      <c r="K18" s="120">
        <f>'Inputs by customer type'!K23</f>
        <v>223429.42078208068</v>
      </c>
      <c r="L18" s="120">
        <f>'Inputs by customer type'!L23</f>
        <v>367015.1363333576</v>
      </c>
      <c r="M18" s="120">
        <f>'Inputs by customer type'!M23</f>
        <v>17378.187088510807</v>
      </c>
      <c r="N18" s="120">
        <f>'Inputs by customer type'!N23</f>
        <v>553797.70392978238</v>
      </c>
      <c r="O18" s="120">
        <f>'Inputs by customer type'!O23</f>
        <v>53966.451241134222</v>
      </c>
      <c r="P18" s="120">
        <f>'Inputs by customer type'!P23</f>
        <v>347700.43816265365</v>
      </c>
      <c r="Q18" s="120">
        <f>'Inputs by customer type'!Q23</f>
        <v>58608.219211648095</v>
      </c>
      <c r="R18" s="120">
        <f>'Inputs by customer type'!R23</f>
        <v>1824.0799299361463</v>
      </c>
      <c r="S18" s="120">
        <f>'Inputs by customer type'!S23</f>
        <v>1.1440000000000006</v>
      </c>
      <c r="T18" s="120">
        <f>'Inputs by customer type'!T23</f>
        <v>194968.53407257851</v>
      </c>
      <c r="U18" s="120">
        <f>'Inputs by customer type'!U23</f>
        <v>0</v>
      </c>
      <c r="V18" s="120">
        <f>'Inputs by customer type'!V23</f>
        <v>1544.822899999999</v>
      </c>
      <c r="W18" s="120">
        <f>'Inputs by customer type'!W23</f>
        <v>0</v>
      </c>
      <c r="X18" s="120">
        <f>'Inputs by customer type'!X23</f>
        <v>790777.23541179951</v>
      </c>
      <c r="Y18" s="120">
        <f>'Inputs by customer type'!Y23</f>
        <v>0</v>
      </c>
    </row>
    <row r="19" spans="5:27" x14ac:dyDescent="0.25">
      <c r="E19" s="28"/>
      <c r="F19" s="72" t="s">
        <v>212</v>
      </c>
      <c r="G19" s="72" t="s">
        <v>212</v>
      </c>
      <c r="J19" s="120">
        <f>'Inputs by customer type'!J24</f>
        <v>708967.48387096729</v>
      </c>
      <c r="K19" s="120">
        <f>'Inputs by customer type'!K24</f>
        <v>70461.662878625808</v>
      </c>
      <c r="L19" s="120">
        <f>'Inputs by customer type'!L24</f>
        <v>73636.601523262332</v>
      </c>
      <c r="M19" s="120">
        <f>'Inputs by customer type'!M24</f>
        <v>2784.9059115721761</v>
      </c>
      <c r="N19" s="120">
        <f>'Inputs by customer type'!N24</f>
        <v>6682.1760353565578</v>
      </c>
      <c r="O19" s="120">
        <f>'Inputs by customer type'!O24</f>
        <v>111.16114041670782</v>
      </c>
      <c r="P19" s="120">
        <f>'Inputs by customer type'!P24</f>
        <v>692.54803916203412</v>
      </c>
      <c r="Q19" s="120">
        <f>'Inputs by customer type'!Q24</f>
        <v>2081.619285024251</v>
      </c>
      <c r="R19" s="120">
        <f>'Inputs by customer type'!R24</f>
        <v>351.61290322580641</v>
      </c>
      <c r="S19" s="120">
        <f>'Inputs by customer type'!S24</f>
        <v>1</v>
      </c>
      <c r="T19" s="120">
        <f>'Inputs by customer type'!T24</f>
        <v>775.9677419354847</v>
      </c>
      <c r="U19" s="120">
        <f>'Inputs by customer type'!U24</f>
        <v>0</v>
      </c>
      <c r="V19" s="120">
        <f>'Inputs by customer type'!V24</f>
        <v>1.9999999999999989</v>
      </c>
      <c r="W19" s="120">
        <f>'Inputs by customer type'!W24</f>
        <v>0</v>
      </c>
      <c r="X19" s="120">
        <f>'Inputs by customer type'!X24</f>
        <v>355.55640880208517</v>
      </c>
      <c r="Y19" s="120">
        <f>'Inputs by customer type'!Y24</f>
        <v>0</v>
      </c>
    </row>
    <row r="20" spans="5:27" x14ac:dyDescent="0.25">
      <c r="E20" s="28"/>
      <c r="F20" s="72" t="s">
        <v>250</v>
      </c>
      <c r="G20" s="72" t="s">
        <v>251</v>
      </c>
      <c r="J20" s="120">
        <f>'Inputs by customer type'!J25</f>
        <v>0</v>
      </c>
      <c r="K20" s="120">
        <f>'Inputs by customer type'!K25</f>
        <v>0</v>
      </c>
      <c r="L20" s="120">
        <f>'Inputs by customer type'!L25</f>
        <v>0</v>
      </c>
      <c r="M20" s="120">
        <f>'Inputs by customer type'!M25</f>
        <v>0</v>
      </c>
      <c r="N20" s="120">
        <f>'Inputs by customer type'!N25</f>
        <v>869075.23235095805</v>
      </c>
      <c r="O20" s="120">
        <f>'Inputs by customer type'!O25</f>
        <v>33657.26799093507</v>
      </c>
      <c r="P20" s="120">
        <f>'Inputs by customer type'!P25</f>
        <v>396885.86689826992</v>
      </c>
      <c r="Q20" s="120">
        <f>'Inputs by customer type'!Q25</f>
        <v>0</v>
      </c>
      <c r="R20" s="120">
        <f>'Inputs by customer type'!R25</f>
        <v>0</v>
      </c>
      <c r="S20" s="120">
        <f>'Inputs by customer type'!S25</f>
        <v>0</v>
      </c>
      <c r="T20" s="120">
        <f>'Inputs by customer type'!T25</f>
        <v>0</v>
      </c>
      <c r="U20" s="120">
        <f>'Inputs by customer type'!U25</f>
        <v>0</v>
      </c>
      <c r="V20" s="120">
        <f>'Inputs by customer type'!V25</f>
        <v>0</v>
      </c>
      <c r="W20" s="120">
        <f>'Inputs by customer type'!W25</f>
        <v>0</v>
      </c>
      <c r="X20" s="120">
        <f>'Inputs by customer type'!X25</f>
        <v>0</v>
      </c>
      <c r="Y20" s="120">
        <f>'Inputs by customer type'!Y25</f>
        <v>0</v>
      </c>
    </row>
    <row r="21" spans="5:27" x14ac:dyDescent="0.25">
      <c r="E21" s="28"/>
      <c r="F21" s="72" t="s">
        <v>252</v>
      </c>
      <c r="G21" s="72" t="s">
        <v>251</v>
      </c>
      <c r="J21" s="120">
        <f>'Inputs by customer type'!J26</f>
        <v>0</v>
      </c>
      <c r="K21" s="120">
        <f>'Inputs by customer type'!K26</f>
        <v>0</v>
      </c>
      <c r="L21" s="120">
        <f>'Inputs by customer type'!L26</f>
        <v>0</v>
      </c>
      <c r="M21" s="120">
        <f>'Inputs by customer type'!M26</f>
        <v>0</v>
      </c>
      <c r="N21" s="120">
        <f>'Inputs by customer type'!N26</f>
        <v>20017.923579185579</v>
      </c>
      <c r="O21" s="120">
        <f>'Inputs by customer type'!O26</f>
        <v>1172.4448121461803</v>
      </c>
      <c r="P21" s="120">
        <f>'Inputs by customer type'!P26</f>
        <v>8108.4019897747849</v>
      </c>
      <c r="Q21" s="120">
        <f>'Inputs by customer type'!Q26</f>
        <v>0</v>
      </c>
      <c r="R21" s="120">
        <f>'Inputs by customer type'!R26</f>
        <v>0</v>
      </c>
      <c r="S21" s="120">
        <f>'Inputs by customer type'!S26</f>
        <v>0</v>
      </c>
      <c r="T21" s="120">
        <f>'Inputs by customer type'!T26</f>
        <v>0</v>
      </c>
      <c r="U21" s="120">
        <f>'Inputs by customer type'!U26</f>
        <v>0</v>
      </c>
      <c r="V21" s="120">
        <f>'Inputs by customer type'!V26</f>
        <v>0</v>
      </c>
      <c r="W21" s="120">
        <f>'Inputs by customer type'!W26</f>
        <v>0</v>
      </c>
      <c r="X21" s="120">
        <f>'Inputs by customer type'!X26</f>
        <v>0</v>
      </c>
      <c r="Y21" s="120">
        <f>'Inputs by customer type'!Y26</f>
        <v>0</v>
      </c>
    </row>
    <row r="22" spans="5:27" x14ac:dyDescent="0.25">
      <c r="E22" s="28"/>
      <c r="F22" s="80" t="s">
        <v>253</v>
      </c>
      <c r="G22" s="80" t="s">
        <v>254</v>
      </c>
      <c r="H22" s="37"/>
      <c r="I22" s="37"/>
      <c r="J22" s="125">
        <f>'Inputs by customer type'!J27</f>
        <v>0</v>
      </c>
      <c r="K22" s="125">
        <f>'Inputs by customer type'!K27</f>
        <v>0</v>
      </c>
      <c r="L22" s="125">
        <f>'Inputs by customer type'!L27</f>
        <v>0</v>
      </c>
      <c r="M22" s="125">
        <f>'Inputs by customer type'!M27</f>
        <v>0</v>
      </c>
      <c r="N22" s="125">
        <f>'Inputs by customer type'!N27</f>
        <v>190596.87416383639</v>
      </c>
      <c r="O22" s="125">
        <f>'Inputs by customer type'!O27</f>
        <v>9906.6253977300548</v>
      </c>
      <c r="P22" s="125">
        <f>'Inputs by customer type'!P27</f>
        <v>127476.83918254296</v>
      </c>
      <c r="Q22" s="125">
        <f>'Inputs by customer type'!Q27</f>
        <v>0</v>
      </c>
      <c r="R22" s="125">
        <f>'Inputs by customer type'!R27</f>
        <v>0</v>
      </c>
      <c r="S22" s="125">
        <f>'Inputs by customer type'!S27</f>
        <v>0</v>
      </c>
      <c r="T22" s="125">
        <f>'Inputs by customer type'!T27</f>
        <v>25700.51612427906</v>
      </c>
      <c r="U22" s="125">
        <f>'Inputs by customer type'!U27</f>
        <v>0</v>
      </c>
      <c r="V22" s="125">
        <f>'Inputs by customer type'!V27</f>
        <v>0</v>
      </c>
      <c r="W22" s="125">
        <f>'Inputs by customer type'!W27</f>
        <v>0</v>
      </c>
      <c r="X22" s="125">
        <f>'Inputs by customer type'!X27</f>
        <v>41127.35854688855</v>
      </c>
      <c r="Y22" s="125">
        <f>'Inputs by customer type'!Y27</f>
        <v>0</v>
      </c>
    </row>
    <row r="23" spans="5:27" s="264" customFormat="1" x14ac:dyDescent="0.25">
      <c r="E23" s="268"/>
      <c r="F23" s="239"/>
      <c r="G23" s="239"/>
      <c r="J23" s="269"/>
      <c r="K23" s="269"/>
      <c r="L23" s="269"/>
      <c r="M23" s="269"/>
      <c r="N23" s="269"/>
      <c r="O23" s="269"/>
      <c r="P23" s="269"/>
      <c r="Q23" s="269"/>
      <c r="R23" s="269"/>
      <c r="S23" s="269"/>
      <c r="T23" s="269"/>
      <c r="U23" s="269"/>
      <c r="V23" s="269"/>
      <c r="W23" s="269"/>
      <c r="X23" s="269"/>
      <c r="Y23" s="269"/>
    </row>
    <row r="24" spans="5:27" x14ac:dyDescent="0.25">
      <c r="E24" s="32" t="s">
        <v>255</v>
      </c>
      <c r="F24" s="80"/>
      <c r="G24" s="80"/>
      <c r="H24" s="37"/>
      <c r="I24" t="s">
        <v>154</v>
      </c>
      <c r="J24" s="82"/>
      <c r="K24" s="82"/>
      <c r="L24" s="82"/>
      <c r="M24" s="82"/>
      <c r="N24" s="82"/>
      <c r="O24" s="82"/>
      <c r="P24" s="82"/>
      <c r="Q24" s="82"/>
      <c r="R24" s="82"/>
      <c r="S24" s="82"/>
      <c r="T24" s="82"/>
      <c r="U24" s="82"/>
      <c r="V24" s="82"/>
      <c r="W24" s="82"/>
      <c r="X24" s="82"/>
      <c r="Y24" s="82"/>
      <c r="AA24" t="s">
        <v>246</v>
      </c>
    </row>
    <row r="25" spans="5:27" x14ac:dyDescent="0.25">
      <c r="F25" s="72" t="s">
        <v>247</v>
      </c>
      <c r="G25" s="72" t="s">
        <v>207</v>
      </c>
      <c r="I25" s="23"/>
      <c r="J25" s="124">
        <f>'Inputs by customer type'!J30</f>
        <v>1134.6884748639145</v>
      </c>
      <c r="K25" s="124">
        <f>'Inputs by customer type'!K30</f>
        <v>0</v>
      </c>
      <c r="L25" s="124">
        <f>'Inputs by customer type'!L30</f>
        <v>13.120369177449744</v>
      </c>
      <c r="M25" s="124">
        <f>'Inputs by customer type'!M30</f>
        <v>0</v>
      </c>
      <c r="N25" s="124">
        <f>'Inputs by customer type'!N30</f>
        <v>184.6408725442231</v>
      </c>
      <c r="O25" s="124">
        <f>'Inputs by customer type'!O30</f>
        <v>0</v>
      </c>
      <c r="P25" s="124">
        <f>'Inputs by customer type'!P30</f>
        <v>0</v>
      </c>
      <c r="Q25" s="124">
        <f>'Inputs by customer type'!Q30</f>
        <v>24.920960167100297</v>
      </c>
      <c r="R25" s="124">
        <f>'Inputs by customer type'!R30</f>
        <v>0</v>
      </c>
      <c r="S25" s="124">
        <f>'Inputs by customer type'!S30</f>
        <v>0</v>
      </c>
      <c r="T25" s="124">
        <f>'Inputs by customer type'!T30</f>
        <v>0</v>
      </c>
      <c r="U25" s="124">
        <f>'Inputs by customer type'!U30</f>
        <v>0</v>
      </c>
      <c r="V25" s="124">
        <f>'Inputs by customer type'!V30</f>
        <v>0</v>
      </c>
      <c r="W25" s="124">
        <f>'Inputs by customer type'!W30</f>
        <v>0</v>
      </c>
      <c r="X25" s="124">
        <f>'Inputs by customer type'!X30</f>
        <v>0</v>
      </c>
      <c r="Y25" s="124">
        <f>'Inputs by customer type'!Y30</f>
        <v>0</v>
      </c>
    </row>
    <row r="26" spans="5:27" x14ac:dyDescent="0.25">
      <c r="E26" s="28"/>
      <c r="F26" s="72" t="s">
        <v>248</v>
      </c>
      <c r="G26" s="72" t="s">
        <v>207</v>
      </c>
      <c r="J26" s="120">
        <f>'Inputs by customer type'!J31</f>
        <v>4374.0340341828778</v>
      </c>
      <c r="K26" s="120">
        <f>'Inputs by customer type'!K31</f>
        <v>0</v>
      </c>
      <c r="L26" s="120">
        <f>'Inputs by customer type'!L31</f>
        <v>81.677936494785726</v>
      </c>
      <c r="M26" s="120">
        <f>'Inputs by customer type'!M31</f>
        <v>0</v>
      </c>
      <c r="N26" s="120">
        <f>'Inputs by customer type'!N31</f>
        <v>646.46439544729776</v>
      </c>
      <c r="O26" s="120">
        <f>'Inputs by customer type'!O31</f>
        <v>0</v>
      </c>
      <c r="P26" s="120">
        <f>'Inputs by customer type'!P31</f>
        <v>0</v>
      </c>
      <c r="Q26" s="120">
        <f>'Inputs by customer type'!Q31</f>
        <v>140.08340266230587</v>
      </c>
      <c r="R26" s="120">
        <f>'Inputs by customer type'!R31</f>
        <v>0</v>
      </c>
      <c r="S26" s="120">
        <f>'Inputs by customer type'!S31</f>
        <v>0</v>
      </c>
      <c r="T26" s="120">
        <f>'Inputs by customer type'!T31</f>
        <v>0</v>
      </c>
      <c r="U26" s="120">
        <f>'Inputs by customer type'!U31</f>
        <v>0</v>
      </c>
      <c r="V26" s="120">
        <f>'Inputs by customer type'!V31</f>
        <v>0</v>
      </c>
      <c r="W26" s="120">
        <f>'Inputs by customer type'!W31</f>
        <v>0</v>
      </c>
      <c r="X26" s="120">
        <f>'Inputs by customer type'!X31</f>
        <v>0</v>
      </c>
      <c r="Y26" s="120">
        <f>'Inputs by customer type'!Y31</f>
        <v>0</v>
      </c>
    </row>
    <row r="27" spans="5:27" x14ac:dyDescent="0.25">
      <c r="E27" s="28"/>
      <c r="F27" s="72" t="s">
        <v>249</v>
      </c>
      <c r="G27" s="72" t="s">
        <v>207</v>
      </c>
      <c r="J27" s="120">
        <f>'Inputs by customer type'!J32</f>
        <v>3427.9630515891258</v>
      </c>
      <c r="K27" s="120">
        <f>'Inputs by customer type'!K32</f>
        <v>0</v>
      </c>
      <c r="L27" s="120">
        <f>'Inputs by customer type'!L32</f>
        <v>37.397401637813815</v>
      </c>
      <c r="M27" s="120">
        <f>'Inputs by customer type'!M32</f>
        <v>0</v>
      </c>
      <c r="N27" s="120">
        <f>'Inputs by customer type'!N32</f>
        <v>404.99023875658321</v>
      </c>
      <c r="O27" s="120">
        <f>'Inputs by customer type'!O32</f>
        <v>0</v>
      </c>
      <c r="P27" s="120">
        <f>'Inputs by customer type'!P32</f>
        <v>0</v>
      </c>
      <c r="Q27" s="120">
        <f>'Inputs by customer type'!Q32</f>
        <v>47.240033668949899</v>
      </c>
      <c r="R27" s="120">
        <f>'Inputs by customer type'!R32</f>
        <v>0</v>
      </c>
      <c r="S27" s="120">
        <f>'Inputs by customer type'!S32</f>
        <v>0</v>
      </c>
      <c r="T27" s="120">
        <f>'Inputs by customer type'!T32</f>
        <v>0</v>
      </c>
      <c r="U27" s="120">
        <f>'Inputs by customer type'!U32</f>
        <v>0</v>
      </c>
      <c r="V27" s="120">
        <f>'Inputs by customer type'!V32</f>
        <v>0</v>
      </c>
      <c r="W27" s="120">
        <f>'Inputs by customer type'!W32</f>
        <v>0</v>
      </c>
      <c r="X27" s="120">
        <f>'Inputs by customer type'!X32</f>
        <v>0</v>
      </c>
      <c r="Y27" s="120">
        <f>'Inputs by customer type'!Y32</f>
        <v>0</v>
      </c>
    </row>
    <row r="28" spans="5:27" x14ac:dyDescent="0.25">
      <c r="E28" s="28"/>
      <c r="F28" s="72" t="s">
        <v>212</v>
      </c>
      <c r="G28" s="72" t="s">
        <v>212</v>
      </c>
      <c r="J28" s="120">
        <f>'Inputs by customer type'!J33</f>
        <v>3276.983870967742</v>
      </c>
      <c r="K28" s="120">
        <f>'Inputs by customer type'!K33</f>
        <v>0</v>
      </c>
      <c r="L28" s="120">
        <f>'Inputs by customer type'!L33</f>
        <v>17</v>
      </c>
      <c r="M28" s="120">
        <f>'Inputs by customer type'!M33</f>
        <v>0</v>
      </c>
      <c r="N28" s="120">
        <f>'Inputs by customer type'!N33</f>
        <v>10</v>
      </c>
      <c r="O28" s="120">
        <f>'Inputs by customer type'!O33</f>
        <v>0</v>
      </c>
      <c r="P28" s="120">
        <f>'Inputs by customer type'!P33</f>
        <v>0</v>
      </c>
      <c r="Q28" s="120">
        <f>'Inputs by customer type'!Q33</f>
        <v>2</v>
      </c>
      <c r="R28" s="120">
        <f>'Inputs by customer type'!R33</f>
        <v>0</v>
      </c>
      <c r="S28" s="120">
        <f>'Inputs by customer type'!S33</f>
        <v>0</v>
      </c>
      <c r="T28" s="120">
        <f>'Inputs by customer type'!T33</f>
        <v>0</v>
      </c>
      <c r="U28" s="120">
        <f>'Inputs by customer type'!U33</f>
        <v>0</v>
      </c>
      <c r="V28" s="120">
        <f>'Inputs by customer type'!V33</f>
        <v>0</v>
      </c>
      <c r="W28" s="120">
        <f>'Inputs by customer type'!W33</f>
        <v>0</v>
      </c>
      <c r="X28" s="120">
        <f>'Inputs by customer type'!X33</f>
        <v>0</v>
      </c>
      <c r="Y28" s="120">
        <f>'Inputs by customer type'!Y33</f>
        <v>0</v>
      </c>
    </row>
    <row r="29" spans="5:27" x14ac:dyDescent="0.25">
      <c r="E29" s="28"/>
      <c r="F29" s="72" t="s">
        <v>250</v>
      </c>
      <c r="G29" s="72" t="s">
        <v>251</v>
      </c>
      <c r="J29" s="120">
        <f>'Inputs by customer type'!J34</f>
        <v>0</v>
      </c>
      <c r="K29" s="120">
        <f>'Inputs by customer type'!K34</f>
        <v>0</v>
      </c>
      <c r="L29" s="120">
        <f>'Inputs by customer type'!L34</f>
        <v>0</v>
      </c>
      <c r="M29" s="120">
        <f>'Inputs by customer type'!M34</f>
        <v>0</v>
      </c>
      <c r="N29" s="120">
        <f>'Inputs by customer type'!N34</f>
        <v>2282</v>
      </c>
      <c r="O29" s="120">
        <f>'Inputs by customer type'!O34</f>
        <v>0</v>
      </c>
      <c r="P29" s="120">
        <f>'Inputs by customer type'!P34</f>
        <v>0</v>
      </c>
      <c r="Q29" s="120">
        <f>'Inputs by customer type'!Q34</f>
        <v>0</v>
      </c>
      <c r="R29" s="120">
        <f>'Inputs by customer type'!R34</f>
        <v>0</v>
      </c>
      <c r="S29" s="120">
        <f>'Inputs by customer type'!S34</f>
        <v>0</v>
      </c>
      <c r="T29" s="120">
        <f>'Inputs by customer type'!T34</f>
        <v>0</v>
      </c>
      <c r="U29" s="120">
        <f>'Inputs by customer type'!U34</f>
        <v>0</v>
      </c>
      <c r="V29" s="120">
        <f>'Inputs by customer type'!V34</f>
        <v>0</v>
      </c>
      <c r="W29" s="120">
        <f>'Inputs by customer type'!W34</f>
        <v>0</v>
      </c>
      <c r="X29" s="120">
        <f>'Inputs by customer type'!X34</f>
        <v>0</v>
      </c>
      <c r="Y29" s="120">
        <f>'Inputs by customer type'!Y34</f>
        <v>0</v>
      </c>
    </row>
    <row r="30" spans="5:27" x14ac:dyDescent="0.25">
      <c r="E30" s="28"/>
      <c r="F30" s="72" t="s">
        <v>252</v>
      </c>
      <c r="G30" s="72" t="s">
        <v>251</v>
      </c>
      <c r="J30" s="120">
        <f>'Inputs by customer type'!J35</f>
        <v>0</v>
      </c>
      <c r="K30" s="120">
        <f>'Inputs by customer type'!K35</f>
        <v>0</v>
      </c>
      <c r="L30" s="120">
        <f>'Inputs by customer type'!L35</f>
        <v>0</v>
      </c>
      <c r="M30" s="120">
        <f>'Inputs by customer type'!M35</f>
        <v>0</v>
      </c>
      <c r="N30" s="120">
        <f>'Inputs by customer type'!N35</f>
        <v>0</v>
      </c>
      <c r="O30" s="120">
        <f>'Inputs by customer type'!O35</f>
        <v>0</v>
      </c>
      <c r="P30" s="120">
        <f>'Inputs by customer type'!P35</f>
        <v>0</v>
      </c>
      <c r="Q30" s="120">
        <f>'Inputs by customer type'!Q35</f>
        <v>0</v>
      </c>
      <c r="R30" s="120">
        <f>'Inputs by customer type'!R35</f>
        <v>0</v>
      </c>
      <c r="S30" s="120">
        <f>'Inputs by customer type'!S35</f>
        <v>0</v>
      </c>
      <c r="T30" s="120">
        <f>'Inputs by customer type'!T35</f>
        <v>0</v>
      </c>
      <c r="U30" s="120">
        <f>'Inputs by customer type'!U35</f>
        <v>0</v>
      </c>
      <c r="V30" s="120">
        <f>'Inputs by customer type'!V35</f>
        <v>0</v>
      </c>
      <c r="W30" s="120">
        <f>'Inputs by customer type'!W35</f>
        <v>0</v>
      </c>
      <c r="X30" s="120">
        <f>'Inputs by customer type'!X35</f>
        <v>0</v>
      </c>
      <c r="Y30" s="120">
        <f>'Inputs by customer type'!Y35</f>
        <v>0</v>
      </c>
    </row>
    <row r="31" spans="5:27" x14ac:dyDescent="0.25">
      <c r="E31" s="28"/>
      <c r="F31" s="80" t="s">
        <v>253</v>
      </c>
      <c r="G31" s="80" t="s">
        <v>254</v>
      </c>
      <c r="H31" s="37"/>
      <c r="I31" s="37"/>
      <c r="J31" s="125">
        <f>'Inputs by customer type'!J36</f>
        <v>0</v>
      </c>
      <c r="K31" s="125">
        <f>'Inputs by customer type'!K36</f>
        <v>0</v>
      </c>
      <c r="L31" s="125">
        <f>'Inputs by customer type'!L36</f>
        <v>0</v>
      </c>
      <c r="M31" s="125">
        <f>'Inputs by customer type'!M36</f>
        <v>0</v>
      </c>
      <c r="N31" s="125">
        <f>'Inputs by customer type'!N36</f>
        <v>65.53048804346291</v>
      </c>
      <c r="O31" s="125">
        <f>'Inputs by customer type'!O36</f>
        <v>0</v>
      </c>
      <c r="P31" s="125">
        <f>'Inputs by customer type'!P36</f>
        <v>0</v>
      </c>
      <c r="Q31" s="125">
        <f>'Inputs by customer type'!Q36</f>
        <v>0</v>
      </c>
      <c r="R31" s="125">
        <f>'Inputs by customer type'!R36</f>
        <v>0</v>
      </c>
      <c r="S31" s="125">
        <f>'Inputs by customer type'!S36</f>
        <v>0</v>
      </c>
      <c r="T31" s="125">
        <f>'Inputs by customer type'!T36</f>
        <v>0</v>
      </c>
      <c r="U31" s="125">
        <f>'Inputs by customer type'!U36</f>
        <v>0</v>
      </c>
      <c r="V31" s="125">
        <f>'Inputs by customer type'!V36</f>
        <v>0</v>
      </c>
      <c r="W31" s="125">
        <f>'Inputs by customer type'!W36</f>
        <v>0</v>
      </c>
      <c r="X31" s="125">
        <f>'Inputs by customer type'!X36</f>
        <v>0</v>
      </c>
      <c r="Y31" s="125">
        <f>'Inputs by customer type'!Y36</f>
        <v>0</v>
      </c>
    </row>
    <row r="32" spans="5:27" s="264" customFormat="1" x14ac:dyDescent="0.25">
      <c r="E32" s="268"/>
      <c r="F32" s="239"/>
      <c r="G32" s="239"/>
      <c r="J32" s="269"/>
      <c r="K32" s="269"/>
      <c r="L32" s="269"/>
      <c r="M32" s="269"/>
      <c r="N32" s="269"/>
      <c r="O32" s="269"/>
      <c r="P32" s="269"/>
      <c r="Q32" s="269"/>
      <c r="R32" s="269"/>
      <c r="S32" s="269"/>
      <c r="T32" s="269"/>
      <c r="U32" s="269"/>
      <c r="V32" s="269"/>
      <c r="W32" s="269"/>
      <c r="X32" s="269"/>
      <c r="Y32" s="269"/>
    </row>
    <row r="33" spans="3:27" x14ac:dyDescent="0.25">
      <c r="E33" s="32" t="s">
        <v>256</v>
      </c>
      <c r="F33" s="80"/>
      <c r="G33" s="80"/>
      <c r="H33" s="37"/>
      <c r="I33" t="s">
        <v>154</v>
      </c>
      <c r="J33" s="82"/>
      <c r="K33" s="82"/>
      <c r="L33" s="82"/>
      <c r="M33" s="82"/>
      <c r="N33" s="82"/>
      <c r="O33" s="82"/>
      <c r="P33" s="82"/>
      <c r="Q33" s="82"/>
      <c r="R33" s="82"/>
      <c r="S33" s="82"/>
      <c r="T33" s="82"/>
      <c r="U33" s="82"/>
      <c r="V33" s="82"/>
      <c r="W33" s="82"/>
      <c r="X33" s="82"/>
      <c r="Y33" s="82"/>
      <c r="AA33" t="s">
        <v>246</v>
      </c>
    </row>
    <row r="34" spans="3:27" x14ac:dyDescent="0.25">
      <c r="E34" s="28"/>
      <c r="F34" s="72" t="s">
        <v>247</v>
      </c>
      <c r="G34" s="72" t="s">
        <v>207</v>
      </c>
      <c r="I34" s="23"/>
      <c r="J34" s="124">
        <f>'Inputs by customer type'!J39</f>
        <v>2290.2312536012701</v>
      </c>
      <c r="K34" s="124">
        <f>'Inputs by customer type'!K39</f>
        <v>0</v>
      </c>
      <c r="L34" s="124">
        <f>'Inputs by customer type'!L39</f>
        <v>80.922738692857905</v>
      </c>
      <c r="M34" s="124">
        <f>'Inputs by customer type'!M39</f>
        <v>0</v>
      </c>
      <c r="N34" s="124">
        <f>'Inputs by customer type'!N39</f>
        <v>444.1232745299136</v>
      </c>
      <c r="O34" s="124">
        <f>'Inputs by customer type'!O39</f>
        <v>36.394848638932153</v>
      </c>
      <c r="P34" s="124">
        <f>'Inputs by customer type'!P39</f>
        <v>7.6924148326244985</v>
      </c>
      <c r="Q34" s="124">
        <f>'Inputs by customer type'!Q39</f>
        <v>0</v>
      </c>
      <c r="R34" s="124">
        <f>'Inputs by customer type'!R39</f>
        <v>0</v>
      </c>
      <c r="S34" s="124">
        <f>'Inputs by customer type'!S39</f>
        <v>0</v>
      </c>
      <c r="T34" s="124">
        <f>'Inputs by customer type'!T39</f>
        <v>0</v>
      </c>
      <c r="U34" s="124">
        <f>'Inputs by customer type'!U39</f>
        <v>0</v>
      </c>
      <c r="V34" s="124">
        <f>'Inputs by customer type'!V39</f>
        <v>0</v>
      </c>
      <c r="W34" s="124">
        <f>'Inputs by customer type'!W39</f>
        <v>0</v>
      </c>
      <c r="X34" s="124">
        <f>'Inputs by customer type'!X39</f>
        <v>0</v>
      </c>
      <c r="Y34" s="124">
        <f>'Inputs by customer type'!Y39</f>
        <v>0</v>
      </c>
    </row>
    <row r="35" spans="3:27" x14ac:dyDescent="0.25">
      <c r="E35" s="28"/>
      <c r="F35" s="72" t="s">
        <v>248</v>
      </c>
      <c r="G35" s="72" t="s">
        <v>207</v>
      </c>
      <c r="J35" s="120">
        <f>'Inputs by customer type'!J40</f>
        <v>8881.2156268222807</v>
      </c>
      <c r="K35" s="120">
        <f>'Inputs by customer type'!K40</f>
        <v>0</v>
      </c>
      <c r="L35" s="120">
        <f>'Inputs by customer type'!L40</f>
        <v>429.10881144774578</v>
      </c>
      <c r="M35" s="120">
        <f>'Inputs by customer type'!M40</f>
        <v>0</v>
      </c>
      <c r="N35" s="120">
        <f>'Inputs by customer type'!N40</f>
        <v>3743.1895956959197</v>
      </c>
      <c r="O35" s="120">
        <f>'Inputs by customer type'!O40</f>
        <v>148.20767438633607</v>
      </c>
      <c r="P35" s="120">
        <f>'Inputs by customer type'!P40</f>
        <v>32.192922169513778</v>
      </c>
      <c r="Q35" s="120">
        <f>'Inputs by customer type'!Q40</f>
        <v>1.118229252538987</v>
      </c>
      <c r="R35" s="120">
        <f>'Inputs by customer type'!R40</f>
        <v>0</v>
      </c>
      <c r="S35" s="120">
        <f>'Inputs by customer type'!S40</f>
        <v>0</v>
      </c>
      <c r="T35" s="120">
        <f>'Inputs by customer type'!T40</f>
        <v>0</v>
      </c>
      <c r="U35" s="120">
        <f>'Inputs by customer type'!U40</f>
        <v>0</v>
      </c>
      <c r="V35" s="120">
        <f>'Inputs by customer type'!V40</f>
        <v>0</v>
      </c>
      <c r="W35" s="120">
        <f>'Inputs by customer type'!W40</f>
        <v>0</v>
      </c>
      <c r="X35" s="120">
        <f>'Inputs by customer type'!X40</f>
        <v>0</v>
      </c>
      <c r="Y35" s="120">
        <f>'Inputs by customer type'!Y40</f>
        <v>0</v>
      </c>
    </row>
    <row r="36" spans="3:27" x14ac:dyDescent="0.25">
      <c r="E36" s="28"/>
      <c r="F36" s="72" t="s">
        <v>249</v>
      </c>
      <c r="G36" s="72" t="s">
        <v>207</v>
      </c>
      <c r="J36" s="120">
        <f>'Inputs by customer type'!J41</f>
        <v>6798.3989147120128</v>
      </c>
      <c r="K36" s="120">
        <f>'Inputs by customer type'!K41</f>
        <v>0</v>
      </c>
      <c r="L36" s="120">
        <f>'Inputs by customer type'!L41</f>
        <v>234.93453349318671</v>
      </c>
      <c r="M36" s="120">
        <f>'Inputs by customer type'!M41</f>
        <v>0</v>
      </c>
      <c r="N36" s="120">
        <f>'Inputs by customer type'!N41</f>
        <v>2943.9096405144574</v>
      </c>
      <c r="O36" s="120">
        <f>'Inputs by customer type'!O41</f>
        <v>158.1788854978677</v>
      </c>
      <c r="P36" s="120">
        <f>'Inputs by customer type'!P41</f>
        <v>24.384317121258984</v>
      </c>
      <c r="Q36" s="120">
        <f>'Inputs by customer type'!Q41</f>
        <v>0.54194045686189796</v>
      </c>
      <c r="R36" s="120">
        <f>'Inputs by customer type'!R41</f>
        <v>0</v>
      </c>
      <c r="S36" s="120">
        <f>'Inputs by customer type'!S41</f>
        <v>0</v>
      </c>
      <c r="T36" s="120">
        <f>'Inputs by customer type'!T41</f>
        <v>0</v>
      </c>
      <c r="U36" s="120">
        <f>'Inputs by customer type'!U41</f>
        <v>0</v>
      </c>
      <c r="V36" s="120">
        <f>'Inputs by customer type'!V41</f>
        <v>0</v>
      </c>
      <c r="W36" s="120">
        <f>'Inputs by customer type'!W41</f>
        <v>0</v>
      </c>
      <c r="X36" s="120">
        <f>'Inputs by customer type'!X41</f>
        <v>0</v>
      </c>
      <c r="Y36" s="120">
        <f>'Inputs by customer type'!Y41</f>
        <v>0</v>
      </c>
    </row>
    <row r="37" spans="3:27" x14ac:dyDescent="0.25">
      <c r="E37" s="28"/>
      <c r="F37" s="72" t="s">
        <v>212</v>
      </c>
      <c r="G37" s="72" t="s">
        <v>212</v>
      </c>
      <c r="J37" s="120">
        <f>'Inputs by customer type'!J42</f>
        <v>6568.8297368601634</v>
      </c>
      <c r="K37" s="120">
        <f>'Inputs by customer type'!K42</f>
        <v>0</v>
      </c>
      <c r="L37" s="120">
        <f>'Inputs by customer type'!L42</f>
        <v>69.01157219334236</v>
      </c>
      <c r="M37" s="120">
        <f>'Inputs by customer type'!M42</f>
        <v>0</v>
      </c>
      <c r="N37" s="120">
        <f>'Inputs by customer type'!N42</f>
        <v>8.5292258765480078</v>
      </c>
      <c r="O37" s="120">
        <f>'Inputs by customer type'!O42</f>
        <v>1</v>
      </c>
      <c r="P37" s="120">
        <f>'Inputs by customer type'!P42</f>
        <v>1</v>
      </c>
      <c r="Q37" s="120">
        <f>'Inputs by customer type'!Q42</f>
        <v>4</v>
      </c>
      <c r="R37" s="120">
        <f>'Inputs by customer type'!R42</f>
        <v>0</v>
      </c>
      <c r="S37" s="120">
        <f>'Inputs by customer type'!S42</f>
        <v>0</v>
      </c>
      <c r="T37" s="120">
        <f>'Inputs by customer type'!T42</f>
        <v>0</v>
      </c>
      <c r="U37" s="120">
        <f>'Inputs by customer type'!U42</f>
        <v>0</v>
      </c>
      <c r="V37" s="120">
        <f>'Inputs by customer type'!V42</f>
        <v>0</v>
      </c>
      <c r="W37" s="120">
        <f>'Inputs by customer type'!W42</f>
        <v>0</v>
      </c>
      <c r="X37" s="120">
        <f>'Inputs by customer type'!X42</f>
        <v>0</v>
      </c>
      <c r="Y37" s="120">
        <f>'Inputs by customer type'!Y42</f>
        <v>0</v>
      </c>
    </row>
    <row r="38" spans="3:27" x14ac:dyDescent="0.25">
      <c r="E38" s="28"/>
      <c r="F38" s="72" t="s">
        <v>250</v>
      </c>
      <c r="G38" s="72" t="s">
        <v>251</v>
      </c>
      <c r="J38" s="120">
        <f>'Inputs by customer type'!J43</f>
        <v>0</v>
      </c>
      <c r="K38" s="120">
        <f>'Inputs by customer type'!K43</f>
        <v>0</v>
      </c>
      <c r="L38" s="120">
        <f>'Inputs by customer type'!L43</f>
        <v>0</v>
      </c>
      <c r="M38" s="120">
        <f>'Inputs by customer type'!M43</f>
        <v>0</v>
      </c>
      <c r="N38" s="120">
        <f>'Inputs by customer type'!N43</f>
        <v>3751.2370753763826</v>
      </c>
      <c r="O38" s="120">
        <f>'Inputs by customer type'!O43</f>
        <v>559.00000000000011</v>
      </c>
      <c r="P38" s="120">
        <f>'Inputs by customer type'!P43</f>
        <v>17750</v>
      </c>
      <c r="Q38" s="120">
        <f>'Inputs by customer type'!Q43</f>
        <v>0</v>
      </c>
      <c r="R38" s="120">
        <f>'Inputs by customer type'!R43</f>
        <v>0</v>
      </c>
      <c r="S38" s="120">
        <f>'Inputs by customer type'!S43</f>
        <v>0</v>
      </c>
      <c r="T38" s="120">
        <f>'Inputs by customer type'!T43</f>
        <v>0</v>
      </c>
      <c r="U38" s="120">
        <f>'Inputs by customer type'!U43</f>
        <v>0</v>
      </c>
      <c r="V38" s="120">
        <f>'Inputs by customer type'!V43</f>
        <v>0</v>
      </c>
      <c r="W38" s="120">
        <f>'Inputs by customer type'!W43</f>
        <v>0</v>
      </c>
      <c r="X38" s="120">
        <f>'Inputs by customer type'!X43</f>
        <v>0</v>
      </c>
      <c r="Y38" s="120">
        <f>'Inputs by customer type'!Y43</f>
        <v>0</v>
      </c>
    </row>
    <row r="39" spans="3:27" x14ac:dyDescent="0.25">
      <c r="E39" s="28"/>
      <c r="F39" s="72" t="s">
        <v>252</v>
      </c>
      <c r="G39" s="72" t="s">
        <v>251</v>
      </c>
      <c r="J39" s="120">
        <f>'Inputs by customer type'!J44</f>
        <v>0</v>
      </c>
      <c r="K39" s="120">
        <f>'Inputs by customer type'!K44</f>
        <v>0</v>
      </c>
      <c r="L39" s="120">
        <f>'Inputs by customer type'!L44</f>
        <v>0</v>
      </c>
      <c r="M39" s="120">
        <f>'Inputs by customer type'!M44</f>
        <v>0</v>
      </c>
      <c r="N39" s="120">
        <f>'Inputs by customer type'!N44</f>
        <v>1123.7764999496744</v>
      </c>
      <c r="O39" s="120">
        <f>'Inputs by customer type'!O44</f>
        <v>0</v>
      </c>
      <c r="P39" s="120">
        <f>'Inputs by customer type'!P44</f>
        <v>0</v>
      </c>
      <c r="Q39" s="120">
        <f>'Inputs by customer type'!Q44</f>
        <v>0</v>
      </c>
      <c r="R39" s="120">
        <f>'Inputs by customer type'!R44</f>
        <v>0</v>
      </c>
      <c r="S39" s="120">
        <f>'Inputs by customer type'!S44</f>
        <v>0</v>
      </c>
      <c r="T39" s="120">
        <f>'Inputs by customer type'!T44</f>
        <v>0</v>
      </c>
      <c r="U39" s="120">
        <f>'Inputs by customer type'!U44</f>
        <v>0</v>
      </c>
      <c r="V39" s="120">
        <f>'Inputs by customer type'!V44</f>
        <v>0</v>
      </c>
      <c r="W39" s="120">
        <f>'Inputs by customer type'!W44</f>
        <v>0</v>
      </c>
      <c r="X39" s="120">
        <f>'Inputs by customer type'!X44</f>
        <v>0</v>
      </c>
      <c r="Y39" s="120">
        <f>'Inputs by customer type'!Y44</f>
        <v>0</v>
      </c>
    </row>
    <row r="40" spans="3:27" x14ac:dyDescent="0.25">
      <c r="E40" s="28"/>
      <c r="F40" s="80" t="s">
        <v>253</v>
      </c>
      <c r="G40" s="80" t="s">
        <v>254</v>
      </c>
      <c r="H40" s="37"/>
      <c r="I40" s="37"/>
      <c r="J40" s="125">
        <f>'Inputs by customer type'!J45</f>
        <v>0</v>
      </c>
      <c r="K40" s="125">
        <f>'Inputs by customer type'!K45</f>
        <v>0</v>
      </c>
      <c r="L40" s="125">
        <f>'Inputs by customer type'!L45</f>
        <v>0</v>
      </c>
      <c r="M40" s="125">
        <f>'Inputs by customer type'!M45</f>
        <v>0</v>
      </c>
      <c r="N40" s="125">
        <f>'Inputs by customer type'!N45</f>
        <v>798.94366109416035</v>
      </c>
      <c r="O40" s="125">
        <f>'Inputs by customer type'!O45</f>
        <v>0</v>
      </c>
      <c r="P40" s="125">
        <f>'Inputs by customer type'!P45</f>
        <v>0</v>
      </c>
      <c r="Q40" s="125">
        <f>'Inputs by customer type'!Q45</f>
        <v>0</v>
      </c>
      <c r="R40" s="125">
        <f>'Inputs by customer type'!R45</f>
        <v>0</v>
      </c>
      <c r="S40" s="125">
        <f>'Inputs by customer type'!S45</f>
        <v>0</v>
      </c>
      <c r="T40" s="125">
        <f>'Inputs by customer type'!T45</f>
        <v>0</v>
      </c>
      <c r="U40" s="125">
        <f>'Inputs by customer type'!U45</f>
        <v>0</v>
      </c>
      <c r="V40" s="125">
        <f>'Inputs by customer type'!V45</f>
        <v>0</v>
      </c>
      <c r="W40" s="125">
        <f>'Inputs by customer type'!W45</f>
        <v>0</v>
      </c>
      <c r="X40" s="125">
        <f>'Inputs by customer type'!X45</f>
        <v>0</v>
      </c>
      <c r="Y40" s="125">
        <f>'Inputs by customer type'!Y45</f>
        <v>0</v>
      </c>
    </row>
    <row r="41" spans="3:27" x14ac:dyDescent="0.25">
      <c r="E41" s="28"/>
      <c r="G41" s="13"/>
      <c r="J41" s="89"/>
      <c r="K41" s="89"/>
      <c r="L41" s="89"/>
      <c r="M41" s="89"/>
      <c r="N41" s="89"/>
      <c r="O41" s="89"/>
      <c r="P41" s="89"/>
      <c r="Q41" s="89"/>
      <c r="R41" s="89"/>
      <c r="S41" s="89"/>
      <c r="T41" s="89"/>
      <c r="U41" s="89"/>
      <c r="V41" s="89"/>
      <c r="W41" s="89"/>
      <c r="X41" s="89"/>
      <c r="Y41" s="89"/>
    </row>
    <row r="42" spans="3:27" x14ac:dyDescent="0.25">
      <c r="C42" s="31" t="str">
        <f ca="1">INDEX('Version control'!$H$34:$H$57,MATCH($A$1,'Version control'!$F$34:$F$57,0),1)&amp;"-B: Tariff forecast"</f>
        <v>Section 118-B: Tariff forecast</v>
      </c>
      <c r="D42" s="31"/>
      <c r="E42" s="31"/>
      <c r="F42" s="31"/>
      <c r="G42" s="31"/>
      <c r="H42" s="31"/>
      <c r="I42" s="31"/>
      <c r="J42" s="90"/>
      <c r="K42" s="90"/>
      <c r="L42" s="90"/>
      <c r="M42" s="90"/>
      <c r="N42" s="90"/>
      <c r="O42" s="90"/>
      <c r="P42" s="90"/>
      <c r="Q42" s="90"/>
      <c r="R42" s="90"/>
      <c r="S42" s="90"/>
      <c r="T42" s="90"/>
      <c r="U42" s="90"/>
      <c r="V42" s="90"/>
      <c r="W42" s="90"/>
      <c r="X42" s="90"/>
      <c r="Y42" s="90"/>
      <c r="Z42" s="31"/>
      <c r="AA42" s="31"/>
    </row>
    <row r="43" spans="3:27" x14ac:dyDescent="0.25">
      <c r="D43" s="32"/>
      <c r="E43" s="28"/>
      <c r="G43" s="13"/>
      <c r="J43" s="89"/>
      <c r="K43" s="89"/>
      <c r="L43" s="89"/>
      <c r="M43" s="89"/>
      <c r="N43" s="89"/>
      <c r="O43" s="89"/>
      <c r="P43" s="89"/>
      <c r="Q43" s="89"/>
      <c r="R43" s="89"/>
      <c r="S43" s="89"/>
      <c r="T43" s="89"/>
      <c r="U43" s="89"/>
      <c r="V43" s="89"/>
      <c r="W43" s="89"/>
      <c r="X43" s="89"/>
      <c r="Y43" s="89"/>
    </row>
    <row r="44" spans="3:27" x14ac:dyDescent="0.25">
      <c r="E44" s="32" t="s">
        <v>870</v>
      </c>
      <c r="G44" s="13"/>
      <c r="I44" t="s">
        <v>154</v>
      </c>
      <c r="J44" s="89"/>
      <c r="K44" s="89"/>
      <c r="L44" s="89"/>
      <c r="M44" s="89"/>
      <c r="N44" s="89"/>
      <c r="O44" s="89"/>
      <c r="P44" s="89"/>
      <c r="Q44" s="89"/>
      <c r="R44" s="89"/>
      <c r="S44" s="89"/>
      <c r="T44" s="89"/>
      <c r="U44" s="89"/>
      <c r="V44" s="89"/>
      <c r="W44" s="89"/>
      <c r="X44" s="89"/>
      <c r="Y44" s="89"/>
      <c r="AA44" t="s">
        <v>155</v>
      </c>
    </row>
    <row r="45" spans="3:27" x14ac:dyDescent="0.25">
      <c r="F45" s="23" t="s">
        <v>156</v>
      </c>
      <c r="G45" s="85" t="s">
        <v>269</v>
      </c>
      <c r="H45" s="286"/>
      <c r="I45" s="270"/>
      <c r="J45" s="286">
        <f>Rounding!J130</f>
        <v>11.164999999999999</v>
      </c>
      <c r="K45" s="286">
        <f>Rounding!K130</f>
        <v>11.164999999999999</v>
      </c>
      <c r="L45" s="286">
        <f>Rounding!L130</f>
        <v>11.6</v>
      </c>
      <c r="M45" s="286">
        <f>Rounding!M130</f>
        <v>11.6</v>
      </c>
      <c r="N45" s="286">
        <f>Rounding!N130</f>
        <v>9.0749999999999993</v>
      </c>
      <c r="O45" s="286">
        <f>Rounding!O130</f>
        <v>5.2619999999999996</v>
      </c>
      <c r="P45" s="286">
        <f>Rounding!P130</f>
        <v>4.0869999999999997</v>
      </c>
      <c r="Q45" s="286">
        <f>Rounding!Q130</f>
        <v>23.361999999999998</v>
      </c>
      <c r="R45" s="286">
        <f>Rounding!R130</f>
        <v>-7.04</v>
      </c>
      <c r="S45" s="286">
        <f>Rounding!S130</f>
        <v>-6.3179999999999996</v>
      </c>
      <c r="T45" s="286">
        <f>Rounding!T130</f>
        <v>-7.04</v>
      </c>
      <c r="U45" s="286">
        <f>Rounding!U130</f>
        <v>-7.04</v>
      </c>
      <c r="V45" s="286">
        <f>Rounding!V130</f>
        <v>-6.3179999999999996</v>
      </c>
      <c r="W45" s="286">
        <f>Rounding!W130</f>
        <v>-6.3179999999999996</v>
      </c>
      <c r="X45" s="286">
        <f>Rounding!X130</f>
        <v>-3.46</v>
      </c>
      <c r="Y45" s="286">
        <f>Rounding!Y130</f>
        <v>-3.46</v>
      </c>
      <c r="Z45" s="272"/>
      <c r="AA45" s="272"/>
    </row>
    <row r="46" spans="3:27" x14ac:dyDescent="0.25">
      <c r="E46" s="28"/>
      <c r="F46" t="s">
        <v>157</v>
      </c>
      <c r="G46" s="13" t="s">
        <v>269</v>
      </c>
      <c r="H46" s="287"/>
      <c r="I46" s="272"/>
      <c r="J46" s="287">
        <f>Rounding!J131</f>
        <v>2.8660000000000001</v>
      </c>
      <c r="K46" s="287">
        <f>Rounding!K131</f>
        <v>2.8660000000000001</v>
      </c>
      <c r="L46" s="287">
        <f>Rounding!L131</f>
        <v>2.9329999999999998</v>
      </c>
      <c r="M46" s="287">
        <f>Rounding!M131</f>
        <v>2.9329999999999998</v>
      </c>
      <c r="N46" s="287">
        <f>Rounding!N131</f>
        <v>2.5339999999999998</v>
      </c>
      <c r="O46" s="287">
        <f>Rounding!O131</f>
        <v>1.93</v>
      </c>
      <c r="P46" s="287">
        <f>Rounding!P131</f>
        <v>1.7410000000000001</v>
      </c>
      <c r="Q46" s="287">
        <f>Rounding!Q131</f>
        <v>5.1189999999999998</v>
      </c>
      <c r="R46" s="287">
        <f>Rounding!R131</f>
        <v>-1.0900000000000001</v>
      </c>
      <c r="S46" s="287">
        <f>Rounding!S131</f>
        <v>-0.97499999999999998</v>
      </c>
      <c r="T46" s="287">
        <f>Rounding!T131</f>
        <v>-1.0900000000000001</v>
      </c>
      <c r="U46" s="287">
        <f>Rounding!U131</f>
        <v>-1.0900000000000001</v>
      </c>
      <c r="V46" s="287">
        <f>Rounding!V131</f>
        <v>-0.97499999999999998</v>
      </c>
      <c r="W46" s="287">
        <f>Rounding!W131</f>
        <v>-0.97499999999999998</v>
      </c>
      <c r="X46" s="287">
        <f>Rounding!X131</f>
        <v>-0.51700000000000002</v>
      </c>
      <c r="Y46" s="287">
        <f>Rounding!Y131</f>
        <v>-0.51700000000000002</v>
      </c>
      <c r="Z46" s="272"/>
      <c r="AA46" s="272"/>
    </row>
    <row r="47" spans="3:27" x14ac:dyDescent="0.25">
      <c r="E47" s="28"/>
      <c r="F47" t="s">
        <v>158</v>
      </c>
      <c r="G47" s="13" t="s">
        <v>269</v>
      </c>
      <c r="H47" s="287"/>
      <c r="I47" s="272"/>
      <c r="J47" s="287">
        <f>Rounding!J132</f>
        <v>2.0430000000000001</v>
      </c>
      <c r="K47" s="287">
        <f>Rounding!K132</f>
        <v>2.0430000000000001</v>
      </c>
      <c r="L47" s="287">
        <f>Rounding!L132</f>
        <v>2.0739999999999998</v>
      </c>
      <c r="M47" s="287">
        <f>Rounding!M132</f>
        <v>2.0739999999999998</v>
      </c>
      <c r="N47" s="287">
        <f>Rounding!N132</f>
        <v>1.8879999999999999</v>
      </c>
      <c r="O47" s="287">
        <f>Rounding!O132</f>
        <v>1.607</v>
      </c>
      <c r="P47" s="287">
        <f>Rounding!P132</f>
        <v>1.518</v>
      </c>
      <c r="Q47" s="287">
        <f>Rounding!Q132</f>
        <v>4.109</v>
      </c>
      <c r="R47" s="287">
        <f>Rounding!R132</f>
        <v>-0.501</v>
      </c>
      <c r="S47" s="287">
        <f>Rounding!S132</f>
        <v>-0.44700000000000001</v>
      </c>
      <c r="T47" s="287">
        <f>Rounding!T132</f>
        <v>-0.501</v>
      </c>
      <c r="U47" s="287">
        <f>Rounding!U132</f>
        <v>-0.501</v>
      </c>
      <c r="V47" s="287">
        <f>Rounding!V132</f>
        <v>-0.44700000000000001</v>
      </c>
      <c r="W47" s="287">
        <f>Rounding!W132</f>
        <v>-0.44700000000000001</v>
      </c>
      <c r="X47" s="287">
        <f>Rounding!X132</f>
        <v>-0.23100000000000001</v>
      </c>
      <c r="Y47" s="287">
        <f>Rounding!Y132</f>
        <v>-0.23100000000000001</v>
      </c>
      <c r="Z47" s="272"/>
      <c r="AA47" s="272"/>
    </row>
    <row r="48" spans="3:27" x14ac:dyDescent="0.25">
      <c r="E48" s="28"/>
      <c r="F48" t="s">
        <v>159</v>
      </c>
      <c r="G48" s="13" t="s">
        <v>270</v>
      </c>
      <c r="H48" s="51"/>
      <c r="J48" s="120">
        <f>Rounding!J133</f>
        <v>7.11</v>
      </c>
      <c r="K48" s="120">
        <f>Rounding!K133</f>
        <v>0</v>
      </c>
      <c r="L48" s="120">
        <f>Rounding!L133</f>
        <v>9.98</v>
      </c>
      <c r="M48" s="120">
        <f>Rounding!M133</f>
        <v>0</v>
      </c>
      <c r="N48" s="120">
        <f>Rounding!N133</f>
        <v>30.03</v>
      </c>
      <c r="O48" s="120">
        <f>Rounding!O133</f>
        <v>55.26</v>
      </c>
      <c r="P48" s="120">
        <f>Rounding!P133</f>
        <v>307.69</v>
      </c>
      <c r="Q48" s="120">
        <f>Rounding!Q133</f>
        <v>0</v>
      </c>
      <c r="R48" s="120">
        <f>Rounding!R133</f>
        <v>0</v>
      </c>
      <c r="S48" s="120">
        <f>Rounding!S133</f>
        <v>0</v>
      </c>
      <c r="T48" s="120">
        <f>Rounding!T133</f>
        <v>0</v>
      </c>
      <c r="U48" s="120">
        <f>Rounding!U133</f>
        <v>0</v>
      </c>
      <c r="V48" s="120">
        <f>Rounding!V133</f>
        <v>0</v>
      </c>
      <c r="W48" s="120">
        <f>Rounding!W133</f>
        <v>0</v>
      </c>
      <c r="X48" s="120">
        <f>Rounding!X133</f>
        <v>498.33</v>
      </c>
      <c r="Y48" s="120">
        <f>Rounding!Y133</f>
        <v>498.33</v>
      </c>
    </row>
    <row r="49" spans="3:27" x14ac:dyDescent="0.25">
      <c r="E49" s="28"/>
      <c r="F49" t="s">
        <v>160</v>
      </c>
      <c r="G49" s="13" t="s">
        <v>271</v>
      </c>
      <c r="H49" s="51"/>
      <c r="J49" s="120">
        <f>Rounding!J134</f>
        <v>0</v>
      </c>
      <c r="K49" s="120">
        <f>Rounding!K134</f>
        <v>0</v>
      </c>
      <c r="L49" s="120">
        <f>Rounding!L134</f>
        <v>0</v>
      </c>
      <c r="M49" s="120">
        <f>Rounding!M134</f>
        <v>0</v>
      </c>
      <c r="N49" s="120">
        <f>Rounding!N134</f>
        <v>5.14</v>
      </c>
      <c r="O49" s="120">
        <f>Rounding!O134</f>
        <v>8.33</v>
      </c>
      <c r="P49" s="120">
        <f>Rounding!P134</f>
        <v>11.11</v>
      </c>
      <c r="Q49" s="120">
        <f>Rounding!Q134</f>
        <v>0</v>
      </c>
      <c r="R49" s="120">
        <f>Rounding!R134</f>
        <v>0</v>
      </c>
      <c r="S49" s="120">
        <f>Rounding!S134</f>
        <v>0</v>
      </c>
      <c r="T49" s="120">
        <f>Rounding!T134</f>
        <v>0</v>
      </c>
      <c r="U49" s="120">
        <f>Rounding!U134</f>
        <v>0</v>
      </c>
      <c r="V49" s="120">
        <f>Rounding!V134</f>
        <v>0</v>
      </c>
      <c r="W49" s="120">
        <f>Rounding!W134</f>
        <v>0</v>
      </c>
      <c r="X49" s="120">
        <f>Rounding!X134</f>
        <v>0</v>
      </c>
      <c r="Y49" s="120">
        <f>Rounding!Y134</f>
        <v>0</v>
      </c>
    </row>
    <row r="50" spans="3:27" x14ac:dyDescent="0.25">
      <c r="E50" s="28"/>
      <c r="F50" t="s">
        <v>161</v>
      </c>
      <c r="G50" s="13" t="s">
        <v>271</v>
      </c>
      <c r="H50" s="51"/>
      <c r="J50" s="120">
        <f>Rounding!J135</f>
        <v>0</v>
      </c>
      <c r="K50" s="120">
        <f>Rounding!K135</f>
        <v>0</v>
      </c>
      <c r="L50" s="120">
        <f>Rounding!L135</f>
        <v>0</v>
      </c>
      <c r="M50" s="120">
        <f>Rounding!M135</f>
        <v>0</v>
      </c>
      <c r="N50" s="120">
        <f>Rounding!N135</f>
        <v>9.18</v>
      </c>
      <c r="O50" s="120">
        <f>Rounding!O135</f>
        <v>11.39</v>
      </c>
      <c r="P50" s="120">
        <f>Rounding!P135</f>
        <v>13.03</v>
      </c>
      <c r="Q50" s="120">
        <f>Rounding!Q135</f>
        <v>0</v>
      </c>
      <c r="R50" s="120">
        <f>Rounding!R135</f>
        <v>0</v>
      </c>
      <c r="S50" s="120">
        <f>Rounding!S135</f>
        <v>0</v>
      </c>
      <c r="T50" s="120">
        <f>Rounding!T135</f>
        <v>0</v>
      </c>
      <c r="U50" s="120">
        <f>Rounding!U135</f>
        <v>0</v>
      </c>
      <c r="V50" s="120">
        <f>Rounding!V135</f>
        <v>0</v>
      </c>
      <c r="W50" s="120">
        <f>Rounding!W135</f>
        <v>0</v>
      </c>
      <c r="X50" s="120">
        <f>Rounding!X135</f>
        <v>0</v>
      </c>
      <c r="Y50" s="120">
        <f>Rounding!Y135</f>
        <v>0</v>
      </c>
    </row>
    <row r="51" spans="3:27" x14ac:dyDescent="0.25">
      <c r="E51" s="28"/>
      <c r="F51" s="37" t="s">
        <v>162</v>
      </c>
      <c r="G51" s="86" t="s">
        <v>272</v>
      </c>
      <c r="H51" s="291"/>
      <c r="I51" s="276"/>
      <c r="J51" s="291">
        <f>Rounding!J136</f>
        <v>0</v>
      </c>
      <c r="K51" s="291">
        <f>Rounding!K136</f>
        <v>0</v>
      </c>
      <c r="L51" s="291">
        <f>Rounding!L136</f>
        <v>0</v>
      </c>
      <c r="M51" s="291">
        <f>Rounding!M136</f>
        <v>0</v>
      </c>
      <c r="N51" s="291">
        <f>Rounding!N136</f>
        <v>0.27300000000000002</v>
      </c>
      <c r="O51" s="291">
        <f>Rounding!O136</f>
        <v>0.127</v>
      </c>
      <c r="P51" s="291">
        <f>Rounding!P136</f>
        <v>8.8999999999999996E-2</v>
      </c>
      <c r="Q51" s="291">
        <f>Rounding!Q136</f>
        <v>0</v>
      </c>
      <c r="R51" s="291">
        <f>Rounding!R136</f>
        <v>0</v>
      </c>
      <c r="S51" s="291">
        <f>Rounding!S136</f>
        <v>0</v>
      </c>
      <c r="T51" s="291">
        <f>Rounding!T136</f>
        <v>0.26400000000000001</v>
      </c>
      <c r="U51" s="291">
        <f>Rounding!U136</f>
        <v>0</v>
      </c>
      <c r="V51" s="291">
        <f>Rounding!V136</f>
        <v>0.222</v>
      </c>
      <c r="W51" s="291">
        <f>Rounding!W136</f>
        <v>0</v>
      </c>
      <c r="X51" s="291">
        <f>Rounding!X136</f>
        <v>0.20300000000000001</v>
      </c>
      <c r="Y51" s="291">
        <f>Rounding!Y136</f>
        <v>0</v>
      </c>
      <c r="Z51" s="272"/>
      <c r="AA51" s="272"/>
    </row>
    <row r="52" spans="3:27" x14ac:dyDescent="0.25">
      <c r="E52" s="28"/>
      <c r="G52" s="13"/>
      <c r="J52" s="89"/>
      <c r="K52" s="89"/>
      <c r="L52" s="89"/>
      <c r="M52" s="89"/>
      <c r="N52" s="89"/>
      <c r="O52" s="89"/>
      <c r="P52" s="89"/>
      <c r="Q52" s="89"/>
      <c r="R52" s="89"/>
      <c r="S52" s="89"/>
      <c r="T52" s="89"/>
      <c r="U52" s="89"/>
      <c r="V52" s="89"/>
      <c r="W52" s="89"/>
      <c r="X52" s="89"/>
      <c r="Y52" s="89"/>
    </row>
    <row r="53" spans="3:27" x14ac:dyDescent="0.25">
      <c r="E53" s="32" t="s">
        <v>871</v>
      </c>
      <c r="G53" s="13"/>
      <c r="I53" t="s">
        <v>154</v>
      </c>
      <c r="J53" s="82"/>
      <c r="K53" s="82"/>
      <c r="L53" s="82"/>
      <c r="M53" s="82"/>
      <c r="N53" s="82"/>
      <c r="O53" s="82"/>
      <c r="P53" s="82"/>
      <c r="Q53" s="82"/>
      <c r="R53" s="82"/>
      <c r="S53" s="82"/>
      <c r="T53" s="82"/>
      <c r="U53" s="82"/>
      <c r="V53" s="82"/>
      <c r="W53" s="82"/>
      <c r="X53" s="82"/>
      <c r="Y53" s="82"/>
      <c r="AA53" t="s">
        <v>155</v>
      </c>
    </row>
    <row r="54" spans="3:27" x14ac:dyDescent="0.25">
      <c r="F54" s="23" t="s">
        <v>156</v>
      </c>
      <c r="G54" s="85" t="s">
        <v>269</v>
      </c>
      <c r="H54" s="286"/>
      <c r="I54" s="270"/>
      <c r="J54" s="286">
        <f>Rounding!J139</f>
        <v>7.8739999999999997</v>
      </c>
      <c r="K54" s="286">
        <f>Rounding!K139</f>
        <v>7.8739999999999997</v>
      </c>
      <c r="L54" s="286">
        <f>Rounding!L139</f>
        <v>8.1809999999999992</v>
      </c>
      <c r="M54" s="286">
        <f>Rounding!M139</f>
        <v>8.1809999999999992</v>
      </c>
      <c r="N54" s="286">
        <f>Rounding!N139</f>
        <v>6.4</v>
      </c>
      <c r="O54" s="286">
        <f>Rounding!O139</f>
        <v>0</v>
      </c>
      <c r="P54" s="286">
        <f>Rounding!P139</f>
        <v>0</v>
      </c>
      <c r="Q54" s="286">
        <f>Rounding!Q139</f>
        <v>16.475000000000001</v>
      </c>
      <c r="R54" s="286">
        <f>Rounding!R139</f>
        <v>-7.04</v>
      </c>
      <c r="S54" s="286">
        <f>Rounding!S139</f>
        <v>0</v>
      </c>
      <c r="T54" s="286">
        <f>Rounding!T139</f>
        <v>-7.04</v>
      </c>
      <c r="U54" s="286">
        <f>Rounding!U139</f>
        <v>0</v>
      </c>
      <c r="V54" s="286">
        <f>Rounding!V139</f>
        <v>0</v>
      </c>
      <c r="W54" s="286">
        <f>Rounding!W139</f>
        <v>0</v>
      </c>
      <c r="X54" s="286">
        <f>Rounding!X139</f>
        <v>0</v>
      </c>
      <c r="Y54" s="286">
        <f>Rounding!Y139</f>
        <v>0</v>
      </c>
      <c r="Z54" s="272"/>
      <c r="AA54" s="272"/>
    </row>
    <row r="55" spans="3:27" x14ac:dyDescent="0.25">
      <c r="E55" s="28"/>
      <c r="F55" t="s">
        <v>157</v>
      </c>
      <c r="G55" s="13" t="s">
        <v>269</v>
      </c>
      <c r="H55" s="287"/>
      <c r="I55" s="272"/>
      <c r="J55" s="287">
        <f>Rounding!J140</f>
        <v>2.0209999999999999</v>
      </c>
      <c r="K55" s="287">
        <f>Rounding!K140</f>
        <v>2.0209999999999999</v>
      </c>
      <c r="L55" s="287">
        <f>Rounding!L140</f>
        <v>2.0680000000000001</v>
      </c>
      <c r="M55" s="287">
        <f>Rounding!M140</f>
        <v>2.0680000000000001</v>
      </c>
      <c r="N55" s="287">
        <f>Rounding!N140</f>
        <v>1.7869999999999999</v>
      </c>
      <c r="O55" s="287">
        <f>Rounding!O140</f>
        <v>0</v>
      </c>
      <c r="P55" s="287">
        <f>Rounding!P140</f>
        <v>0</v>
      </c>
      <c r="Q55" s="287">
        <f>Rounding!Q140</f>
        <v>3.61</v>
      </c>
      <c r="R55" s="287">
        <f>Rounding!R140</f>
        <v>-1.0900000000000001</v>
      </c>
      <c r="S55" s="287">
        <f>Rounding!S140</f>
        <v>0</v>
      </c>
      <c r="T55" s="287">
        <f>Rounding!T140</f>
        <v>-1.0900000000000001</v>
      </c>
      <c r="U55" s="287">
        <f>Rounding!U140</f>
        <v>0</v>
      </c>
      <c r="V55" s="287">
        <f>Rounding!V140</f>
        <v>0</v>
      </c>
      <c r="W55" s="287">
        <f>Rounding!W140</f>
        <v>0</v>
      </c>
      <c r="X55" s="287">
        <f>Rounding!X140</f>
        <v>0</v>
      </c>
      <c r="Y55" s="287">
        <f>Rounding!Y140</f>
        <v>0</v>
      </c>
      <c r="Z55" s="272"/>
      <c r="AA55" s="272"/>
    </row>
    <row r="56" spans="3:27" x14ac:dyDescent="0.25">
      <c r="E56" s="28"/>
      <c r="F56" t="s">
        <v>158</v>
      </c>
      <c r="G56" s="13" t="s">
        <v>269</v>
      </c>
      <c r="H56" s="287"/>
      <c r="I56" s="272"/>
      <c r="J56" s="287">
        <f>Rounding!J141</f>
        <v>1.4410000000000001</v>
      </c>
      <c r="K56" s="287">
        <f>Rounding!K141</f>
        <v>1.4410000000000001</v>
      </c>
      <c r="L56" s="287">
        <f>Rounding!L141</f>
        <v>1.4630000000000001</v>
      </c>
      <c r="M56" s="287">
        <f>Rounding!M141</f>
        <v>1.4630000000000001</v>
      </c>
      <c r="N56" s="287">
        <f>Rounding!N141</f>
        <v>1.3320000000000001</v>
      </c>
      <c r="O56" s="287">
        <f>Rounding!O141</f>
        <v>0</v>
      </c>
      <c r="P56" s="287">
        <f>Rounding!P141</f>
        <v>0</v>
      </c>
      <c r="Q56" s="287">
        <f>Rounding!Q141</f>
        <v>2.8980000000000001</v>
      </c>
      <c r="R56" s="287">
        <f>Rounding!R141</f>
        <v>-0.501</v>
      </c>
      <c r="S56" s="287">
        <f>Rounding!S141</f>
        <v>0</v>
      </c>
      <c r="T56" s="287">
        <f>Rounding!T141</f>
        <v>-0.501</v>
      </c>
      <c r="U56" s="287">
        <f>Rounding!U141</f>
        <v>0</v>
      </c>
      <c r="V56" s="287">
        <f>Rounding!V141</f>
        <v>0</v>
      </c>
      <c r="W56" s="287">
        <f>Rounding!W141</f>
        <v>0</v>
      </c>
      <c r="X56" s="287">
        <f>Rounding!X141</f>
        <v>0</v>
      </c>
      <c r="Y56" s="287">
        <f>Rounding!Y141</f>
        <v>0</v>
      </c>
      <c r="Z56" s="272"/>
      <c r="AA56" s="272"/>
    </row>
    <row r="57" spans="3:27" x14ac:dyDescent="0.25">
      <c r="E57" s="28"/>
      <c r="F57" t="s">
        <v>159</v>
      </c>
      <c r="G57" s="13" t="s">
        <v>270</v>
      </c>
      <c r="H57" s="51"/>
      <c r="J57" s="120">
        <f>Rounding!J142</f>
        <v>5.16</v>
      </c>
      <c r="K57" s="120">
        <f>Rounding!K142</f>
        <v>0</v>
      </c>
      <c r="L57" s="120">
        <f>Rounding!L142</f>
        <v>7.17</v>
      </c>
      <c r="M57" s="120">
        <f>Rounding!M142</f>
        <v>0</v>
      </c>
      <c r="N57" s="120">
        <f>Rounding!N142</f>
        <v>21.31</v>
      </c>
      <c r="O57" s="120">
        <f>Rounding!O142</f>
        <v>0</v>
      </c>
      <c r="P57" s="120">
        <f>Rounding!P142</f>
        <v>0</v>
      </c>
      <c r="Q57" s="120">
        <f>Rounding!Q142</f>
        <v>0</v>
      </c>
      <c r="R57" s="120">
        <f>Rounding!R142</f>
        <v>0</v>
      </c>
      <c r="S57" s="120">
        <f>Rounding!S142</f>
        <v>0</v>
      </c>
      <c r="T57" s="120">
        <f>Rounding!T142</f>
        <v>0</v>
      </c>
      <c r="U57" s="120">
        <f>Rounding!U142</f>
        <v>0</v>
      </c>
      <c r="V57" s="120">
        <f>Rounding!V142</f>
        <v>0</v>
      </c>
      <c r="W57" s="120">
        <f>Rounding!W142</f>
        <v>0</v>
      </c>
      <c r="X57" s="120">
        <f>Rounding!X142</f>
        <v>0</v>
      </c>
      <c r="Y57" s="120">
        <f>Rounding!Y142</f>
        <v>0</v>
      </c>
    </row>
    <row r="58" spans="3:27" x14ac:dyDescent="0.25">
      <c r="E58" s="28"/>
      <c r="F58" t="s">
        <v>160</v>
      </c>
      <c r="G58" s="13" t="s">
        <v>271</v>
      </c>
      <c r="H58" s="51"/>
      <c r="J58" s="120">
        <f>Rounding!J143</f>
        <v>0</v>
      </c>
      <c r="K58" s="120">
        <f>Rounding!K143</f>
        <v>0</v>
      </c>
      <c r="L58" s="120">
        <f>Rounding!L143</f>
        <v>0</v>
      </c>
      <c r="M58" s="120">
        <f>Rounding!M143</f>
        <v>0</v>
      </c>
      <c r="N58" s="120">
        <f>Rounding!N143</f>
        <v>3.63</v>
      </c>
      <c r="O58" s="120">
        <f>Rounding!O143</f>
        <v>0</v>
      </c>
      <c r="P58" s="120">
        <f>Rounding!P143</f>
        <v>0</v>
      </c>
      <c r="Q58" s="120">
        <f>Rounding!Q143</f>
        <v>0</v>
      </c>
      <c r="R58" s="120">
        <f>Rounding!R143</f>
        <v>0</v>
      </c>
      <c r="S58" s="120">
        <f>Rounding!S143</f>
        <v>0</v>
      </c>
      <c r="T58" s="120">
        <f>Rounding!T143</f>
        <v>0</v>
      </c>
      <c r="U58" s="120">
        <f>Rounding!U143</f>
        <v>0</v>
      </c>
      <c r="V58" s="120">
        <f>Rounding!V143</f>
        <v>0</v>
      </c>
      <c r="W58" s="120">
        <f>Rounding!W143</f>
        <v>0</v>
      </c>
      <c r="X58" s="120">
        <f>Rounding!X143</f>
        <v>0</v>
      </c>
      <c r="Y58" s="120">
        <f>Rounding!Y143</f>
        <v>0</v>
      </c>
    </row>
    <row r="59" spans="3:27" x14ac:dyDescent="0.25">
      <c r="E59" s="28"/>
      <c r="F59" t="s">
        <v>161</v>
      </c>
      <c r="G59" s="13" t="s">
        <v>271</v>
      </c>
      <c r="H59" s="51"/>
      <c r="J59" s="120">
        <f>Rounding!J144</f>
        <v>0</v>
      </c>
      <c r="K59" s="120">
        <f>Rounding!K144</f>
        <v>0</v>
      </c>
      <c r="L59" s="120">
        <f>Rounding!L144</f>
        <v>0</v>
      </c>
      <c r="M59" s="120">
        <f>Rounding!M144</f>
        <v>0</v>
      </c>
      <c r="N59" s="120">
        <f>Rounding!N144</f>
        <v>6.47</v>
      </c>
      <c r="O59" s="120">
        <f>Rounding!O144</f>
        <v>0</v>
      </c>
      <c r="P59" s="120">
        <f>Rounding!P144</f>
        <v>0</v>
      </c>
      <c r="Q59" s="120">
        <f>Rounding!Q144</f>
        <v>0</v>
      </c>
      <c r="R59" s="120">
        <f>Rounding!R144</f>
        <v>0</v>
      </c>
      <c r="S59" s="120">
        <f>Rounding!S144</f>
        <v>0</v>
      </c>
      <c r="T59" s="120">
        <f>Rounding!T144</f>
        <v>0</v>
      </c>
      <c r="U59" s="120">
        <f>Rounding!U144</f>
        <v>0</v>
      </c>
      <c r="V59" s="120">
        <f>Rounding!V144</f>
        <v>0</v>
      </c>
      <c r="W59" s="120">
        <f>Rounding!W144</f>
        <v>0</v>
      </c>
      <c r="X59" s="120">
        <f>Rounding!X144</f>
        <v>0</v>
      </c>
      <c r="Y59" s="120">
        <f>Rounding!Y144</f>
        <v>0</v>
      </c>
    </row>
    <row r="60" spans="3:27" x14ac:dyDescent="0.25">
      <c r="E60" s="28"/>
      <c r="F60" s="37" t="s">
        <v>162</v>
      </c>
      <c r="G60" s="86" t="s">
        <v>272</v>
      </c>
      <c r="H60" s="291"/>
      <c r="I60" s="276"/>
      <c r="J60" s="291">
        <f>Rounding!J145</f>
        <v>0</v>
      </c>
      <c r="K60" s="291">
        <f>Rounding!K145</f>
        <v>0</v>
      </c>
      <c r="L60" s="291">
        <f>Rounding!L145</f>
        <v>0</v>
      </c>
      <c r="M60" s="291">
        <f>Rounding!M145</f>
        <v>0</v>
      </c>
      <c r="N60" s="291">
        <f>Rounding!N145</f>
        <v>0.193</v>
      </c>
      <c r="O60" s="291">
        <f>Rounding!O145</f>
        <v>0</v>
      </c>
      <c r="P60" s="291">
        <f>Rounding!P145</f>
        <v>0</v>
      </c>
      <c r="Q60" s="291">
        <f>Rounding!Q145</f>
        <v>0</v>
      </c>
      <c r="R60" s="291">
        <f>Rounding!R145</f>
        <v>0</v>
      </c>
      <c r="S60" s="291">
        <f>Rounding!S145</f>
        <v>0</v>
      </c>
      <c r="T60" s="291">
        <f>Rounding!T145</f>
        <v>0.26400000000000001</v>
      </c>
      <c r="U60" s="291">
        <f>Rounding!U145</f>
        <v>0</v>
      </c>
      <c r="V60" s="291">
        <f>Rounding!V145</f>
        <v>0</v>
      </c>
      <c r="W60" s="291">
        <f>Rounding!W145</f>
        <v>0</v>
      </c>
      <c r="X60" s="291">
        <f>Rounding!X145</f>
        <v>0</v>
      </c>
      <c r="Y60" s="291">
        <f>Rounding!Y145</f>
        <v>0</v>
      </c>
      <c r="Z60" s="272"/>
      <c r="AA60" s="272"/>
    </row>
    <row r="61" spans="3:27" x14ac:dyDescent="0.25">
      <c r="E61" s="28"/>
      <c r="G61" s="13"/>
      <c r="J61" s="89"/>
      <c r="K61" s="89"/>
      <c r="L61" s="89"/>
      <c r="M61" s="89"/>
      <c r="N61" s="89"/>
      <c r="O61" s="89"/>
      <c r="P61" s="89"/>
      <c r="Q61" s="89"/>
      <c r="R61" s="89"/>
      <c r="S61" s="89"/>
      <c r="T61" s="89"/>
      <c r="U61" s="89"/>
      <c r="V61" s="89"/>
      <c r="W61" s="89"/>
      <c r="X61" s="89"/>
      <c r="Y61" s="89"/>
    </row>
    <row r="62" spans="3:27" x14ac:dyDescent="0.25">
      <c r="E62" s="32" t="s">
        <v>872</v>
      </c>
      <c r="G62" s="13"/>
      <c r="I62" t="s">
        <v>154</v>
      </c>
      <c r="J62" s="82"/>
      <c r="K62" s="82"/>
      <c r="L62" s="82"/>
      <c r="M62" s="82"/>
      <c r="N62" s="82"/>
      <c r="O62" s="82"/>
      <c r="P62" s="82"/>
      <c r="Q62" s="82"/>
      <c r="R62" s="82"/>
      <c r="S62" s="82"/>
      <c r="T62" s="82"/>
      <c r="U62" s="82"/>
      <c r="V62" s="82"/>
      <c r="W62" s="82"/>
      <c r="X62" s="82"/>
      <c r="Y62" s="82"/>
      <c r="AA62" t="s">
        <v>155</v>
      </c>
    </row>
    <row r="63" spans="3:27" x14ac:dyDescent="0.25">
      <c r="C63" s="88"/>
      <c r="F63" s="23" t="s">
        <v>156</v>
      </c>
      <c r="G63" s="85" t="s">
        <v>269</v>
      </c>
      <c r="H63" s="286"/>
      <c r="I63" s="270"/>
      <c r="J63" s="286">
        <f>Rounding!J148</f>
        <v>5.0449999999999999</v>
      </c>
      <c r="K63" s="286">
        <f>Rounding!K148</f>
        <v>5.0449999999999999</v>
      </c>
      <c r="L63" s="286">
        <f>Rounding!L148</f>
        <v>5.2409999999999997</v>
      </c>
      <c r="M63" s="286">
        <f>Rounding!M148</f>
        <v>5.2409999999999997</v>
      </c>
      <c r="N63" s="286">
        <f>Rounding!N148</f>
        <v>4.0999999999999996</v>
      </c>
      <c r="O63" s="286">
        <f>Rounding!O148</f>
        <v>3.448</v>
      </c>
      <c r="P63" s="286">
        <f>Rounding!P148</f>
        <v>2.931</v>
      </c>
      <c r="Q63" s="286">
        <f>Rounding!Q148</f>
        <v>10.555</v>
      </c>
      <c r="R63" s="286">
        <f>Rounding!R148</f>
        <v>-7.04</v>
      </c>
      <c r="S63" s="286">
        <f>Rounding!S148</f>
        <v>-6.3179999999999996</v>
      </c>
      <c r="T63" s="286">
        <f>Rounding!T148</f>
        <v>-7.04</v>
      </c>
      <c r="U63" s="286">
        <f>Rounding!U148</f>
        <v>0</v>
      </c>
      <c r="V63" s="286">
        <f>Rounding!V148</f>
        <v>-6.3179999999999996</v>
      </c>
      <c r="W63" s="286">
        <f>Rounding!W148</f>
        <v>0</v>
      </c>
      <c r="X63" s="286">
        <f>Rounding!X148</f>
        <v>-3.46</v>
      </c>
      <c r="Y63" s="286">
        <f>Rounding!Y148</f>
        <v>0</v>
      </c>
      <c r="Z63" s="272"/>
      <c r="AA63" s="272"/>
    </row>
    <row r="64" spans="3:27" x14ac:dyDescent="0.25">
      <c r="C64" s="88"/>
      <c r="F64" t="s">
        <v>157</v>
      </c>
      <c r="G64" s="13" t="s">
        <v>269</v>
      </c>
      <c r="H64" s="287"/>
      <c r="I64" s="272"/>
      <c r="J64" s="287">
        <f>Rounding!J149</f>
        <v>1.2949999999999999</v>
      </c>
      <c r="K64" s="287">
        <f>Rounding!K149</f>
        <v>1.2949999999999999</v>
      </c>
      <c r="L64" s="287">
        <f>Rounding!L149</f>
        <v>1.325</v>
      </c>
      <c r="M64" s="287">
        <f>Rounding!M149</f>
        <v>1.325</v>
      </c>
      <c r="N64" s="287">
        <f>Rounding!N149</f>
        <v>1.145</v>
      </c>
      <c r="O64" s="287">
        <f>Rounding!O149</f>
        <v>1.2649999999999999</v>
      </c>
      <c r="P64" s="287">
        <f>Rounding!P149</f>
        <v>1.248</v>
      </c>
      <c r="Q64" s="287">
        <f>Rounding!Q149</f>
        <v>2.3130000000000002</v>
      </c>
      <c r="R64" s="287">
        <f>Rounding!R149</f>
        <v>-1.0900000000000001</v>
      </c>
      <c r="S64" s="287">
        <f>Rounding!S149</f>
        <v>-0.97499999999999998</v>
      </c>
      <c r="T64" s="287">
        <f>Rounding!T149</f>
        <v>-1.0900000000000001</v>
      </c>
      <c r="U64" s="287">
        <f>Rounding!U149</f>
        <v>0</v>
      </c>
      <c r="V64" s="287">
        <f>Rounding!V149</f>
        <v>-0.97499999999999998</v>
      </c>
      <c r="W64" s="287">
        <f>Rounding!W149</f>
        <v>0</v>
      </c>
      <c r="X64" s="287">
        <f>Rounding!X149</f>
        <v>-0.51700000000000002</v>
      </c>
      <c r="Y64" s="287">
        <f>Rounding!Y149</f>
        <v>0</v>
      </c>
      <c r="Z64" s="272"/>
      <c r="AA64" s="272"/>
    </row>
    <row r="65" spans="2:27" x14ac:dyDescent="0.25">
      <c r="C65" s="88"/>
      <c r="F65" t="s">
        <v>158</v>
      </c>
      <c r="G65" s="13" t="s">
        <v>269</v>
      </c>
      <c r="H65" s="287"/>
      <c r="I65" s="272"/>
      <c r="J65" s="287">
        <f>Rounding!J150</f>
        <v>0.92300000000000004</v>
      </c>
      <c r="K65" s="287">
        <f>Rounding!K150</f>
        <v>0.92300000000000004</v>
      </c>
      <c r="L65" s="287">
        <f>Rounding!L150</f>
        <v>0.93700000000000006</v>
      </c>
      <c r="M65" s="287">
        <f>Rounding!M150</f>
        <v>0.93700000000000006</v>
      </c>
      <c r="N65" s="287">
        <f>Rounding!N150</f>
        <v>0.85299999999999998</v>
      </c>
      <c r="O65" s="287">
        <f>Rounding!O150</f>
        <v>1.0529999999999999</v>
      </c>
      <c r="P65" s="287">
        <f>Rounding!P150</f>
        <v>1.089</v>
      </c>
      <c r="Q65" s="287">
        <f>Rounding!Q150</f>
        <v>1.857</v>
      </c>
      <c r="R65" s="287">
        <f>Rounding!R150</f>
        <v>-0.501</v>
      </c>
      <c r="S65" s="287">
        <f>Rounding!S150</f>
        <v>-0.44700000000000001</v>
      </c>
      <c r="T65" s="287">
        <f>Rounding!T150</f>
        <v>-0.501</v>
      </c>
      <c r="U65" s="287">
        <f>Rounding!U150</f>
        <v>0</v>
      </c>
      <c r="V65" s="287">
        <f>Rounding!V150</f>
        <v>-0.44700000000000001</v>
      </c>
      <c r="W65" s="287">
        <f>Rounding!W150</f>
        <v>0</v>
      </c>
      <c r="X65" s="287">
        <f>Rounding!X150</f>
        <v>-0.23100000000000001</v>
      </c>
      <c r="Y65" s="287">
        <f>Rounding!Y150</f>
        <v>0</v>
      </c>
      <c r="Z65" s="272"/>
      <c r="AA65" s="272"/>
    </row>
    <row r="66" spans="2:27" x14ac:dyDescent="0.25">
      <c r="C66" s="88"/>
      <c r="F66" t="s">
        <v>159</v>
      </c>
      <c r="G66" s="13" t="s">
        <v>270</v>
      </c>
      <c r="H66" s="51"/>
      <c r="J66" s="120">
        <f>Rounding!J151</f>
        <v>3.49</v>
      </c>
      <c r="K66" s="120">
        <f>Rounding!K151</f>
        <v>0</v>
      </c>
      <c r="L66" s="120">
        <f>Rounding!L151</f>
        <v>4.76</v>
      </c>
      <c r="M66" s="120">
        <f>Rounding!M151</f>
        <v>0</v>
      </c>
      <c r="N66" s="120">
        <f>Rounding!N151</f>
        <v>13.82</v>
      </c>
      <c r="O66" s="120">
        <f>Rounding!O151</f>
        <v>36.369999999999997</v>
      </c>
      <c r="P66" s="120">
        <f>Rounding!P151</f>
        <v>220.81</v>
      </c>
      <c r="Q66" s="120">
        <f>Rounding!Q151</f>
        <v>0</v>
      </c>
      <c r="R66" s="120">
        <f>Rounding!R151</f>
        <v>0</v>
      </c>
      <c r="S66" s="120">
        <f>Rounding!S151</f>
        <v>0</v>
      </c>
      <c r="T66" s="120">
        <f>Rounding!T151</f>
        <v>0</v>
      </c>
      <c r="U66" s="120">
        <f>Rounding!U151</f>
        <v>0</v>
      </c>
      <c r="V66" s="120">
        <f>Rounding!V151</f>
        <v>0</v>
      </c>
      <c r="W66" s="120">
        <f>Rounding!W151</f>
        <v>0</v>
      </c>
      <c r="X66" s="120">
        <f>Rounding!X151</f>
        <v>0</v>
      </c>
      <c r="Y66" s="120">
        <f>Rounding!Y151</f>
        <v>0</v>
      </c>
    </row>
    <row r="67" spans="2:27" x14ac:dyDescent="0.25">
      <c r="C67" s="88"/>
      <c r="F67" t="s">
        <v>160</v>
      </c>
      <c r="G67" s="13" t="s">
        <v>271</v>
      </c>
      <c r="H67" s="51"/>
      <c r="J67" s="120">
        <f>Rounding!J152</f>
        <v>0</v>
      </c>
      <c r="K67" s="120">
        <f>Rounding!K152</f>
        <v>0</v>
      </c>
      <c r="L67" s="120">
        <f>Rounding!L152</f>
        <v>0</v>
      </c>
      <c r="M67" s="120">
        <f>Rounding!M152</f>
        <v>0</v>
      </c>
      <c r="N67" s="120">
        <f>Rounding!N152</f>
        <v>2.3199999999999998</v>
      </c>
      <c r="O67" s="120">
        <f>Rounding!O152</f>
        <v>5.46</v>
      </c>
      <c r="P67" s="120">
        <f>Rounding!P152</f>
        <v>7.97</v>
      </c>
      <c r="Q67" s="120">
        <f>Rounding!Q152</f>
        <v>0</v>
      </c>
      <c r="R67" s="120">
        <f>Rounding!R152</f>
        <v>0</v>
      </c>
      <c r="S67" s="120">
        <f>Rounding!S152</f>
        <v>0</v>
      </c>
      <c r="T67" s="120">
        <f>Rounding!T152</f>
        <v>0</v>
      </c>
      <c r="U67" s="120">
        <f>Rounding!U152</f>
        <v>0</v>
      </c>
      <c r="V67" s="120">
        <f>Rounding!V152</f>
        <v>0</v>
      </c>
      <c r="W67" s="120">
        <f>Rounding!W152</f>
        <v>0</v>
      </c>
      <c r="X67" s="120">
        <f>Rounding!X152</f>
        <v>0</v>
      </c>
      <c r="Y67" s="120">
        <f>Rounding!Y152</f>
        <v>0</v>
      </c>
    </row>
    <row r="68" spans="2:27" x14ac:dyDescent="0.25">
      <c r="C68" s="88"/>
      <c r="F68" t="s">
        <v>161</v>
      </c>
      <c r="G68" s="13" t="s">
        <v>271</v>
      </c>
      <c r="H68" s="51"/>
      <c r="J68" s="120">
        <f>Rounding!J153</f>
        <v>0</v>
      </c>
      <c r="K68" s="120">
        <f>Rounding!K153</f>
        <v>0</v>
      </c>
      <c r="L68" s="120">
        <f>Rounding!L153</f>
        <v>0</v>
      </c>
      <c r="M68" s="120">
        <f>Rounding!M153</f>
        <v>0</v>
      </c>
      <c r="N68" s="120">
        <f>Rounding!N153</f>
        <v>4.1500000000000004</v>
      </c>
      <c r="O68" s="120">
        <f>Rounding!O153</f>
        <v>7.47</v>
      </c>
      <c r="P68" s="120">
        <f>Rounding!P153</f>
        <v>9.34</v>
      </c>
      <c r="Q68" s="120">
        <f>Rounding!Q153</f>
        <v>0</v>
      </c>
      <c r="R68" s="120">
        <f>Rounding!R153</f>
        <v>0</v>
      </c>
      <c r="S68" s="120">
        <f>Rounding!S153</f>
        <v>0</v>
      </c>
      <c r="T68" s="120">
        <f>Rounding!T153</f>
        <v>0</v>
      </c>
      <c r="U68" s="120">
        <f>Rounding!U153</f>
        <v>0</v>
      </c>
      <c r="V68" s="120">
        <f>Rounding!V153</f>
        <v>0</v>
      </c>
      <c r="W68" s="120">
        <f>Rounding!W153</f>
        <v>0</v>
      </c>
      <c r="X68" s="120">
        <f>Rounding!X153</f>
        <v>0</v>
      </c>
      <c r="Y68" s="120">
        <f>Rounding!Y153</f>
        <v>0</v>
      </c>
    </row>
    <row r="69" spans="2:27" x14ac:dyDescent="0.25">
      <c r="C69" s="88"/>
      <c r="F69" s="37" t="s">
        <v>162</v>
      </c>
      <c r="G69" s="86" t="s">
        <v>272</v>
      </c>
      <c r="H69" s="291"/>
      <c r="I69" s="276"/>
      <c r="J69" s="291">
        <f>Rounding!J154</f>
        <v>0</v>
      </c>
      <c r="K69" s="291">
        <f>Rounding!K154</f>
        <v>0</v>
      </c>
      <c r="L69" s="291">
        <f>Rounding!L154</f>
        <v>0</v>
      </c>
      <c r="M69" s="291">
        <f>Rounding!M154</f>
        <v>0</v>
      </c>
      <c r="N69" s="291">
        <f>Rounding!N154</f>
        <v>0.123</v>
      </c>
      <c r="O69" s="291">
        <f>Rounding!O154</f>
        <v>8.3000000000000004E-2</v>
      </c>
      <c r="P69" s="291">
        <f>Rounding!P154</f>
        <v>6.4000000000000001E-2</v>
      </c>
      <c r="Q69" s="291">
        <f>Rounding!Q154</f>
        <v>0</v>
      </c>
      <c r="R69" s="291">
        <f>Rounding!R154</f>
        <v>0</v>
      </c>
      <c r="S69" s="291">
        <f>Rounding!S154</f>
        <v>0</v>
      </c>
      <c r="T69" s="291">
        <f>Rounding!T154</f>
        <v>0.26400000000000001</v>
      </c>
      <c r="U69" s="291">
        <f>Rounding!U154</f>
        <v>0</v>
      </c>
      <c r="V69" s="291">
        <f>Rounding!V154</f>
        <v>0.222</v>
      </c>
      <c r="W69" s="291">
        <f>Rounding!W154</f>
        <v>0</v>
      </c>
      <c r="X69" s="291">
        <f>Rounding!X154</f>
        <v>0.20300000000000001</v>
      </c>
      <c r="Y69" s="291">
        <f>Rounding!Y154</f>
        <v>0</v>
      </c>
      <c r="Z69" s="272"/>
      <c r="AA69" s="272"/>
    </row>
    <row r="70" spans="2:27" x14ac:dyDescent="0.25">
      <c r="C70" s="88"/>
      <c r="D70" s="2"/>
      <c r="E70" s="2"/>
      <c r="G70" s="13"/>
      <c r="J70" s="89"/>
      <c r="K70" s="89"/>
      <c r="L70" s="89"/>
      <c r="M70" s="89"/>
      <c r="N70" s="89"/>
      <c r="O70" s="89"/>
      <c r="P70" s="89"/>
      <c r="Q70" s="89"/>
      <c r="R70" s="89"/>
      <c r="S70" s="89"/>
      <c r="T70" s="89"/>
      <c r="U70" s="89"/>
      <c r="V70" s="89"/>
      <c r="W70" s="89"/>
      <c r="X70" s="89"/>
      <c r="Y70" s="89"/>
    </row>
    <row r="71" spans="2:27" x14ac:dyDescent="0.25">
      <c r="C71" s="31" t="str">
        <f ca="1">INDEX('Version control'!$H$34:$H$57,MATCH($A$1,'Version control'!$F$34:$F$57,0),1)&amp;"-C: Net revenue components"</f>
        <v>Section 118-C: Net revenue components</v>
      </c>
      <c r="D71" s="31"/>
      <c r="E71" s="31"/>
      <c r="F71" s="31"/>
      <c r="G71" s="31"/>
      <c r="H71" s="31"/>
      <c r="I71" s="31"/>
      <c r="J71" s="90"/>
      <c r="K71" s="90"/>
      <c r="L71" s="90"/>
      <c r="M71" s="90"/>
      <c r="N71" s="90"/>
      <c r="O71" s="90"/>
      <c r="P71" s="90"/>
      <c r="Q71" s="90"/>
      <c r="R71" s="90"/>
      <c r="S71" s="90"/>
      <c r="T71" s="90"/>
      <c r="U71" s="90"/>
      <c r="V71" s="90"/>
      <c r="W71" s="90"/>
      <c r="X71" s="90"/>
      <c r="Y71" s="90"/>
      <c r="Z71" s="31"/>
      <c r="AA71" s="31"/>
    </row>
    <row r="72" spans="2:27" x14ac:dyDescent="0.25">
      <c r="D72" s="32"/>
      <c r="J72" s="89"/>
      <c r="K72" s="89"/>
      <c r="L72" s="89"/>
      <c r="M72" s="89"/>
      <c r="N72" s="89"/>
      <c r="O72" s="89"/>
      <c r="P72" s="89"/>
      <c r="Q72" s="89"/>
      <c r="R72" s="89"/>
      <c r="S72" s="89"/>
      <c r="T72" s="89"/>
      <c r="U72" s="89"/>
      <c r="V72" s="89"/>
      <c r="W72" s="89"/>
      <c r="X72" s="89"/>
      <c r="Y72" s="89"/>
    </row>
    <row r="73" spans="2:27" x14ac:dyDescent="0.25">
      <c r="E73" t="s">
        <v>738</v>
      </c>
      <c r="G73" s="13" t="s">
        <v>277</v>
      </c>
      <c r="H73" s="120">
        <f>'General inputs'!$H$87</f>
        <v>245653706.80133021</v>
      </c>
      <c r="J73" s="199"/>
      <c r="K73" s="199"/>
      <c r="L73" s="199"/>
      <c r="M73" s="199"/>
      <c r="N73" s="199"/>
      <c r="O73" s="199"/>
      <c r="P73" s="199"/>
      <c r="Q73" s="199"/>
      <c r="R73" s="199"/>
      <c r="S73" s="199"/>
      <c r="T73" s="199"/>
      <c r="U73" s="199"/>
      <c r="V73" s="199"/>
      <c r="W73" s="199"/>
      <c r="X73" s="199"/>
      <c r="Y73" s="199"/>
    </row>
    <row r="74" spans="2:27" x14ac:dyDescent="0.25">
      <c r="E74" t="s">
        <v>873</v>
      </c>
      <c r="G74" s="13" t="s">
        <v>277</v>
      </c>
      <c r="H74" s="120">
        <f>'Revenue matching'!H58</f>
        <v>156868602.75387937</v>
      </c>
      <c r="J74" s="199"/>
      <c r="K74" s="199"/>
      <c r="L74" s="199"/>
      <c r="M74" s="199"/>
      <c r="N74" s="199"/>
      <c r="O74" s="199"/>
      <c r="P74" s="199"/>
      <c r="Q74" s="199"/>
      <c r="R74" s="199"/>
      <c r="S74" s="199"/>
      <c r="T74" s="199"/>
      <c r="U74" s="199"/>
      <c r="V74" s="199"/>
      <c r="W74" s="199"/>
      <c r="X74" s="199"/>
      <c r="Y74" s="199"/>
    </row>
    <row r="75" spans="2:27" x14ac:dyDescent="0.25">
      <c r="E75" t="s">
        <v>1055</v>
      </c>
      <c r="G75" s="13" t="s">
        <v>277</v>
      </c>
      <c r="H75" s="120">
        <f>'Revenue matching'!H158</f>
        <v>87349767.951301724</v>
      </c>
      <c r="J75" s="199"/>
      <c r="K75" s="199"/>
      <c r="L75" s="199"/>
      <c r="M75" s="199"/>
      <c r="N75" s="199"/>
      <c r="O75" s="199"/>
      <c r="P75" s="199"/>
      <c r="Q75" s="199"/>
      <c r="R75" s="199"/>
      <c r="S75" s="199"/>
      <c r="T75" s="199"/>
      <c r="U75" s="199"/>
      <c r="V75" s="199"/>
      <c r="W75" s="199"/>
      <c r="X75" s="199"/>
      <c r="Y75" s="199"/>
    </row>
    <row r="76" spans="2:27" x14ac:dyDescent="0.25">
      <c r="E76" t="s">
        <v>1056</v>
      </c>
      <c r="G76" s="13" t="s">
        <v>277</v>
      </c>
      <c r="H76" s="120">
        <f>'Fixed charge adder'!H52</f>
        <v>1435336.0961490816</v>
      </c>
      <c r="J76" s="199"/>
      <c r="K76" s="199"/>
      <c r="L76" s="199"/>
      <c r="M76" s="199"/>
      <c r="N76" s="199"/>
      <c r="O76" s="199"/>
      <c r="P76" s="199"/>
      <c r="Q76" s="199"/>
      <c r="R76" s="199"/>
      <c r="S76" s="199"/>
      <c r="T76" s="199"/>
      <c r="U76" s="199"/>
      <c r="V76" s="199"/>
      <c r="W76" s="199"/>
      <c r="X76" s="199"/>
      <c r="Y76" s="199"/>
    </row>
    <row r="77" spans="2:27" x14ac:dyDescent="0.25">
      <c r="E77" t="s">
        <v>1057</v>
      </c>
      <c r="G77" s="13" t="s">
        <v>277</v>
      </c>
      <c r="H77" s="120">
        <f>'Fixed charge adder'!H56</f>
        <v>0</v>
      </c>
      <c r="J77" s="199"/>
      <c r="K77" s="199"/>
      <c r="L77" s="199"/>
      <c r="M77" s="199"/>
      <c r="N77" s="199"/>
      <c r="O77" s="199"/>
      <c r="P77" s="199"/>
      <c r="Q77" s="199"/>
      <c r="R77" s="199"/>
      <c r="S77" s="199"/>
      <c r="T77" s="199"/>
      <c r="U77" s="199"/>
      <c r="V77" s="199"/>
      <c r="W77" s="199"/>
      <c r="X77" s="199"/>
      <c r="Y77" s="199"/>
    </row>
    <row r="78" spans="2:27" x14ac:dyDescent="0.25">
      <c r="D78" s="32"/>
      <c r="H78" s="89"/>
      <c r="J78" s="89"/>
      <c r="K78" s="89"/>
      <c r="L78" s="89"/>
      <c r="M78" s="89"/>
      <c r="N78" s="89"/>
      <c r="O78" s="89"/>
      <c r="P78" s="89"/>
      <c r="Q78" s="89"/>
      <c r="R78" s="89"/>
      <c r="S78" s="89"/>
      <c r="T78" s="89"/>
      <c r="U78" s="89"/>
      <c r="V78" s="89"/>
      <c r="W78" s="89"/>
      <c r="X78" s="89"/>
      <c r="Y78" s="89"/>
    </row>
    <row r="79" spans="2:27" x14ac:dyDescent="0.25">
      <c r="B79" s="30" t="s">
        <v>874</v>
      </c>
      <c r="C79" s="30"/>
      <c r="D79" s="30"/>
      <c r="E79" s="30"/>
      <c r="F79" s="30"/>
      <c r="G79" s="30"/>
      <c r="H79" s="184"/>
      <c r="I79" s="30"/>
      <c r="J79" s="184"/>
      <c r="K79" s="184"/>
      <c r="L79" s="184"/>
      <c r="M79" s="184"/>
      <c r="N79" s="184"/>
      <c r="O79" s="184"/>
      <c r="P79" s="184"/>
      <c r="Q79" s="184"/>
      <c r="R79" s="184"/>
      <c r="S79" s="184"/>
      <c r="T79" s="184"/>
      <c r="U79" s="184"/>
      <c r="V79" s="184"/>
      <c r="W79" s="184"/>
      <c r="X79" s="184"/>
      <c r="Y79" s="184"/>
      <c r="Z79" s="30"/>
      <c r="AA79" s="30"/>
    </row>
    <row r="80" spans="2:27" x14ac:dyDescent="0.25">
      <c r="D80" s="2"/>
      <c r="E80" s="2"/>
      <c r="H80" s="89"/>
      <c r="J80" s="89"/>
      <c r="K80" s="89"/>
      <c r="L80" s="89"/>
      <c r="M80" s="89"/>
      <c r="N80" s="89"/>
      <c r="O80" s="89"/>
      <c r="P80" s="89"/>
      <c r="Q80" s="89"/>
      <c r="R80" s="89"/>
      <c r="S80" s="89"/>
      <c r="T80" s="89"/>
      <c r="U80" s="89"/>
      <c r="V80" s="89"/>
      <c r="W80" s="89"/>
      <c r="X80" s="89"/>
      <c r="Y80" s="89"/>
    </row>
    <row r="81" spans="3:27" x14ac:dyDescent="0.25">
      <c r="C81" s="31" t="str">
        <f ca="1">INDEX('Version control'!$H$34:$H$57,MATCH($A$1,'Version control'!$F$34:$F$57,0),1)&amp;"-D: Net revenue by tariff"</f>
        <v>Section 118-D: Net revenue by tariff</v>
      </c>
      <c r="D81" s="31"/>
      <c r="E81" s="31"/>
      <c r="F81" s="31"/>
      <c r="G81" s="31"/>
      <c r="H81" s="90"/>
      <c r="I81" s="31"/>
      <c r="J81" s="90"/>
      <c r="K81" s="90"/>
      <c r="L81" s="90"/>
      <c r="M81" s="90"/>
      <c r="N81" s="90"/>
      <c r="O81" s="90"/>
      <c r="P81" s="90"/>
      <c r="Q81" s="90"/>
      <c r="R81" s="90"/>
      <c r="S81" s="90"/>
      <c r="T81" s="90"/>
      <c r="U81" s="90"/>
      <c r="V81" s="90"/>
      <c r="W81" s="90"/>
      <c r="X81" s="90"/>
      <c r="Y81" s="90"/>
      <c r="Z81" s="31"/>
      <c r="AA81" s="31"/>
    </row>
    <row r="82" spans="3:27" x14ac:dyDescent="0.25">
      <c r="F82" s="3"/>
      <c r="G82" s="216"/>
      <c r="H82" s="127"/>
      <c r="I82" s="3"/>
      <c r="J82" s="89"/>
      <c r="K82" s="89"/>
      <c r="L82" s="89"/>
      <c r="M82" s="89"/>
      <c r="N82" s="89"/>
      <c r="O82" s="89"/>
      <c r="P82" s="89"/>
      <c r="Q82" s="89"/>
      <c r="R82" s="89"/>
      <c r="S82" s="89"/>
      <c r="T82" s="89"/>
      <c r="U82" s="89"/>
      <c r="V82" s="89"/>
      <c r="W82" s="89"/>
      <c r="X82" s="89"/>
      <c r="Y82" s="89"/>
    </row>
    <row r="83" spans="3:27" x14ac:dyDescent="0.25">
      <c r="E83" s="32" t="s">
        <v>875</v>
      </c>
      <c r="G83" s="13"/>
      <c r="H83" s="217" t="s">
        <v>545</v>
      </c>
      <c r="J83" s="89"/>
      <c r="K83" s="89"/>
      <c r="L83" s="89"/>
      <c r="M83" s="89"/>
      <c r="N83" s="89"/>
      <c r="O83" s="89"/>
      <c r="P83" s="89"/>
      <c r="Q83" s="89"/>
      <c r="R83" s="89"/>
      <c r="S83" s="89"/>
      <c r="T83" s="89"/>
      <c r="U83" s="89"/>
      <c r="V83" s="89"/>
      <c r="W83" s="89"/>
      <c r="X83" s="89"/>
      <c r="Y83" s="89"/>
    </row>
    <row r="84" spans="3:27" x14ac:dyDescent="0.25">
      <c r="E84" s="28"/>
      <c r="F84" s="23" t="s">
        <v>156</v>
      </c>
      <c r="G84" s="85" t="s">
        <v>277</v>
      </c>
      <c r="H84" s="126">
        <f t="shared" ref="H84:H90" si="0">SUM(J84:Y84)</f>
        <v>57383877.800697759</v>
      </c>
      <c r="I84" s="23"/>
      <c r="J84" s="126">
        <f t="shared" ref="J84:K84" si="1">J16 * thousand * J45 / hundred</f>
        <v>34611167.604001023</v>
      </c>
      <c r="K84" s="126">
        <f t="shared" si="1"/>
        <v>985651.05212128628</v>
      </c>
      <c r="L84" s="126">
        <f t="shared" ref="L84:M84" si="2">L16 * thousand * L45 / hundred</f>
        <v>11870618.151343243</v>
      </c>
      <c r="M84" s="126">
        <f t="shared" si="2"/>
        <v>356528.22554924077</v>
      </c>
      <c r="N84" s="126">
        <f t="shared" ref="N84:P84" si="3">N16 * thousand * N45 / hundred</f>
        <v>12657457.42118429</v>
      </c>
      <c r="O84" s="126">
        <f t="shared" si="3"/>
        <v>588427.76667336468</v>
      </c>
      <c r="P84" s="126">
        <f t="shared" si="3"/>
        <v>3052532.8269287972</v>
      </c>
      <c r="Q84" s="126">
        <f t="shared" ref="Q84:S84" si="4">Q16 * thousand * Q45 / hundred</f>
        <v>1012109.0185749818</v>
      </c>
      <c r="R84" s="126">
        <f t="shared" si="4"/>
        <v>-46324.462133104375</v>
      </c>
      <c r="S84" s="126">
        <f t="shared" si="4"/>
        <v>-25.777440000000002</v>
      </c>
      <c r="T84" s="126">
        <f t="shared" ref="T84:U84" si="5">T16 * thousand * T45 / hundred</f>
        <v>-2403644.4036700856</v>
      </c>
      <c r="U84" s="126">
        <f t="shared" si="5"/>
        <v>0</v>
      </c>
      <c r="V84" s="126">
        <f t="shared" ref="V84:W84" si="6">V16 * thousand * V45 / hundred</f>
        <v>-22336.164395999982</v>
      </c>
      <c r="W84" s="126">
        <f t="shared" si="6"/>
        <v>0</v>
      </c>
      <c r="X84" s="126">
        <f t="shared" ref="X84:Y84" si="7">X16 * thousand * X45 / hundred</f>
        <v>-5278283.4580392847</v>
      </c>
      <c r="Y84" s="126">
        <f t="shared" si="7"/>
        <v>0</v>
      </c>
    </row>
    <row r="85" spans="3:27" x14ac:dyDescent="0.25">
      <c r="E85" s="28"/>
      <c r="F85" t="s">
        <v>157</v>
      </c>
      <c r="G85" s="13" t="s">
        <v>277</v>
      </c>
      <c r="H85" s="98">
        <f t="shared" si="0"/>
        <v>77609859.315635502</v>
      </c>
      <c r="J85" s="98">
        <f t="shared" ref="J85:K85" si="8">J17 * thousand * J46 / hundred</f>
        <v>34820656.212547898</v>
      </c>
      <c r="K85" s="98">
        <f t="shared" si="8"/>
        <v>4324449.2196947746</v>
      </c>
      <c r="L85" s="98">
        <f t="shared" ref="L85:M85" si="9">L17 * thousand * L46 / hundred</f>
        <v>15985150.154173622</v>
      </c>
      <c r="M85" s="98">
        <f t="shared" si="9"/>
        <v>420953.63332775451</v>
      </c>
      <c r="N85" s="98">
        <f t="shared" ref="N85:P85" si="10">N17 * thousand * N46 / hundred</f>
        <v>18707277.96920681</v>
      </c>
      <c r="O85" s="98">
        <f t="shared" si="10"/>
        <v>1118365.9513810212</v>
      </c>
      <c r="P85" s="98">
        <f t="shared" si="10"/>
        <v>6545489.9472064041</v>
      </c>
      <c r="Q85" s="98">
        <f t="shared" ref="Q85:S85" si="11">Q17 * thousand * Q46 / hundred</f>
        <v>1554344.2935482401</v>
      </c>
      <c r="R85" s="98">
        <f t="shared" si="11"/>
        <v>-37294.799625532069</v>
      </c>
      <c r="S85" s="98">
        <f t="shared" si="11"/>
        <v>-18.944250000000007</v>
      </c>
      <c r="T85" s="98">
        <f t="shared" ref="T85:U85" si="12">T17 * thousand * T46 / hundred</f>
        <v>-1950086.0074691887</v>
      </c>
      <c r="U85" s="98">
        <f t="shared" si="12"/>
        <v>0</v>
      </c>
      <c r="V85" s="98">
        <f t="shared" ref="V85:W85" si="13">V17 * thousand * V46 / hundred</f>
        <v>-14956.242599999987</v>
      </c>
      <c r="W85" s="98">
        <f t="shared" si="13"/>
        <v>0</v>
      </c>
      <c r="X85" s="98">
        <f t="shared" ref="X85:Y85" si="14">X17 * thousand * X46 / hundred</f>
        <v>-3864472.0715063252</v>
      </c>
      <c r="Y85" s="98">
        <f t="shared" si="14"/>
        <v>0</v>
      </c>
    </row>
    <row r="86" spans="3:27" x14ac:dyDescent="0.25">
      <c r="E86" s="28"/>
      <c r="F86" t="s">
        <v>158</v>
      </c>
      <c r="G86" s="13" t="s">
        <v>277</v>
      </c>
      <c r="H86" s="98">
        <f t="shared" si="0"/>
        <v>50621294.456190385</v>
      </c>
      <c r="J86" s="98">
        <f t="shared" ref="J86:K86" si="15">J18 * thousand * J47 / hundred</f>
        <v>21894604.843484763</v>
      </c>
      <c r="K86" s="98">
        <f t="shared" si="15"/>
        <v>4564663.0665779086</v>
      </c>
      <c r="L86" s="98">
        <f t="shared" ref="L86:M86" si="16">L18 * thousand * L47 / hundred</f>
        <v>7611893.9275538353</v>
      </c>
      <c r="M86" s="98">
        <f t="shared" si="16"/>
        <v>360423.60021571413</v>
      </c>
      <c r="N86" s="98">
        <f t="shared" ref="N86:P86" si="17">N18 * thousand * N47 / hundred</f>
        <v>10455700.650194291</v>
      </c>
      <c r="O86" s="98">
        <f t="shared" si="17"/>
        <v>867240.87144502683</v>
      </c>
      <c r="P86" s="98">
        <f t="shared" si="17"/>
        <v>5278092.6513090823</v>
      </c>
      <c r="Q86" s="98">
        <f t="shared" ref="Q86:S86" si="18">Q18 * thousand * Q47 / hundred</f>
        <v>2408211.72740662</v>
      </c>
      <c r="R86" s="98">
        <f t="shared" si="18"/>
        <v>-9138.6404489800934</v>
      </c>
      <c r="S86" s="98">
        <f t="shared" si="18"/>
        <v>-5.1136800000000031</v>
      </c>
      <c r="T86" s="98">
        <f t="shared" ref="T86:U86" si="19">T18 * thousand * T47 / hundred</f>
        <v>-976792.35570361838</v>
      </c>
      <c r="U86" s="98">
        <f t="shared" si="19"/>
        <v>0</v>
      </c>
      <c r="V86" s="98">
        <f t="shared" ref="V86:W86" si="20">V18 * thousand * V47 / hundred</f>
        <v>-6905.3583629999948</v>
      </c>
      <c r="W86" s="98">
        <f t="shared" si="20"/>
        <v>0</v>
      </c>
      <c r="X86" s="98">
        <f t="shared" ref="X86:Y86" si="21">X18 * thousand * X47 / hundred</f>
        <v>-1826695.413801257</v>
      </c>
      <c r="Y86" s="98">
        <f t="shared" si="21"/>
        <v>0</v>
      </c>
    </row>
    <row r="87" spans="3:27" x14ac:dyDescent="0.25">
      <c r="E87" s="28"/>
      <c r="F87" s="23" t="s">
        <v>159</v>
      </c>
      <c r="G87" s="85" t="s">
        <v>277</v>
      </c>
      <c r="H87" s="126">
        <f t="shared" si="0"/>
        <v>23260483.245867208</v>
      </c>
      <c r="I87" s="23"/>
      <c r="J87" s="126">
        <f t="shared" ref="J87:K87" si="22" xml:space="preserve"> J19 * J48 * days_in_year / hundred</f>
        <v>18398769.657677408</v>
      </c>
      <c r="K87" s="126">
        <f t="shared" si="22"/>
        <v>0</v>
      </c>
      <c r="L87" s="126">
        <f t="shared" ref="L87:M87" si="23" xml:space="preserve"> L19 * L48 * days_in_year / hundred</f>
        <v>2682360.4836878767</v>
      </c>
      <c r="M87" s="126">
        <f t="shared" si="23"/>
        <v>0</v>
      </c>
      <c r="N87" s="126">
        <f t="shared" ref="N87:P87" si="24" xml:space="preserve"> N19 * N48 * days_in_year / hundred</f>
        <v>732429.97414741467</v>
      </c>
      <c r="O87" s="126">
        <f t="shared" si="24"/>
        <v>22421.09086090955</v>
      </c>
      <c r="P87" s="126">
        <f t="shared" si="24"/>
        <v>777778.8875196469</v>
      </c>
      <c r="Q87" s="126">
        <f t="shared" ref="Q87:S87" si="25" xml:space="preserve"> Q19 * Q48 * days_in_year / hundred</f>
        <v>0</v>
      </c>
      <c r="R87" s="126">
        <f t="shared" si="25"/>
        <v>0</v>
      </c>
      <c r="S87" s="126">
        <f t="shared" si="25"/>
        <v>0</v>
      </c>
      <c r="T87" s="126">
        <f t="shared" ref="T87:U87" si="26" xml:space="preserve"> T19 * T48 * days_in_year / hundred</f>
        <v>0</v>
      </c>
      <c r="U87" s="126">
        <f t="shared" si="26"/>
        <v>0</v>
      </c>
      <c r="V87" s="126">
        <f t="shared" ref="V87:W87" si="27" xml:space="preserve"> V19 * V48 * days_in_year / hundred</f>
        <v>0</v>
      </c>
      <c r="W87" s="126">
        <f t="shared" si="27"/>
        <v>0</v>
      </c>
      <c r="X87" s="126">
        <f t="shared" ref="X87:Y87" si="28" xml:space="preserve"> X19 * X48 * days_in_year / hundred</f>
        <v>646723.15197395231</v>
      </c>
      <c r="Y87" s="126">
        <f t="shared" si="28"/>
        <v>0</v>
      </c>
    </row>
    <row r="88" spans="3:27" x14ac:dyDescent="0.25">
      <c r="E88" s="28"/>
      <c r="F88" t="s">
        <v>160</v>
      </c>
      <c r="G88" s="13" t="s">
        <v>277</v>
      </c>
      <c r="H88" s="98">
        <f t="shared" si="0"/>
        <v>33422370.070291899</v>
      </c>
      <c r="J88" s="98">
        <f t="shared" ref="J88:K88" si="29" xml:space="preserve"> J20 * J49 * days_in_year / hundred</f>
        <v>0</v>
      </c>
      <c r="K88" s="98">
        <f t="shared" si="29"/>
        <v>0</v>
      </c>
      <c r="L88" s="98">
        <f t="shared" ref="L88:M88" si="30" xml:space="preserve"> L20 * L49 * days_in_year / hundred</f>
        <v>0</v>
      </c>
      <c r="M88" s="98">
        <f t="shared" si="30"/>
        <v>0</v>
      </c>
      <c r="N88" s="98">
        <f t="shared" ref="N88:P88" si="31" xml:space="preserve"> N20 * N49 * days_in_year / hundred</f>
        <v>16304720.434136324</v>
      </c>
      <c r="O88" s="98">
        <f t="shared" si="31"/>
        <v>1023332.4046303852</v>
      </c>
      <c r="P88" s="98">
        <f t="shared" si="31"/>
        <v>16094317.231525192</v>
      </c>
      <c r="Q88" s="98">
        <f t="shared" ref="Q88:S88" si="32" xml:space="preserve"> Q20 * Q49 * days_in_year / hundred</f>
        <v>0</v>
      </c>
      <c r="R88" s="98">
        <f t="shared" si="32"/>
        <v>0</v>
      </c>
      <c r="S88" s="98">
        <f t="shared" si="32"/>
        <v>0</v>
      </c>
      <c r="T88" s="98">
        <f t="shared" ref="T88:U88" si="33" xml:space="preserve"> T20 * T49 * days_in_year / hundred</f>
        <v>0</v>
      </c>
      <c r="U88" s="98">
        <f t="shared" si="33"/>
        <v>0</v>
      </c>
      <c r="V88" s="98">
        <f t="shared" ref="V88:W88" si="34" xml:space="preserve"> V20 * V49 * days_in_year / hundred</f>
        <v>0</v>
      </c>
      <c r="W88" s="98">
        <f t="shared" si="34"/>
        <v>0</v>
      </c>
      <c r="X88" s="98">
        <f t="shared" ref="X88:Y88" si="35" xml:space="preserve"> X20 * X49 * days_in_year / hundred</f>
        <v>0</v>
      </c>
      <c r="Y88" s="98">
        <f t="shared" si="35"/>
        <v>0</v>
      </c>
    </row>
    <row r="89" spans="3:27" x14ac:dyDescent="0.25">
      <c r="E89" s="28"/>
      <c r="F89" t="s">
        <v>161</v>
      </c>
      <c r="G89" s="13" t="s">
        <v>277</v>
      </c>
      <c r="H89" s="98">
        <f t="shared" si="0"/>
        <v>1105114.7441982243</v>
      </c>
      <c r="J89" s="98">
        <f t="shared" ref="J89:K89" si="36" xml:space="preserve"> J21 * J50 * days_in_year / hundred</f>
        <v>0</v>
      </c>
      <c r="K89" s="98">
        <f t="shared" si="36"/>
        <v>0</v>
      </c>
      <c r="L89" s="98">
        <f t="shared" ref="L89:M89" si="37" xml:space="preserve"> L21 * L50 * days_in_year / hundred</f>
        <v>0</v>
      </c>
      <c r="M89" s="98">
        <f t="shared" si="37"/>
        <v>0</v>
      </c>
      <c r="N89" s="98">
        <f t="shared" ref="N89:P89" si="38" xml:space="preserve"> N21 * N50 * days_in_year / hundred</f>
        <v>670740.5653677712</v>
      </c>
      <c r="O89" s="98">
        <f t="shared" si="38"/>
        <v>48742.634397759233</v>
      </c>
      <c r="P89" s="98">
        <f t="shared" si="38"/>
        <v>385631.54443269386</v>
      </c>
      <c r="Q89" s="98">
        <f t="shared" ref="Q89:S89" si="39" xml:space="preserve"> Q21 * Q50 * days_in_year / hundred</f>
        <v>0</v>
      </c>
      <c r="R89" s="98">
        <f t="shared" si="39"/>
        <v>0</v>
      </c>
      <c r="S89" s="98">
        <f t="shared" si="39"/>
        <v>0</v>
      </c>
      <c r="T89" s="98">
        <f t="shared" ref="T89:U89" si="40" xml:space="preserve"> T21 * T50 * days_in_year / hundred</f>
        <v>0</v>
      </c>
      <c r="U89" s="98">
        <f t="shared" si="40"/>
        <v>0</v>
      </c>
      <c r="V89" s="98">
        <f t="shared" ref="V89:W89" si="41" xml:space="preserve"> V21 * V50 * days_in_year / hundred</f>
        <v>0</v>
      </c>
      <c r="W89" s="98">
        <f t="shared" si="41"/>
        <v>0</v>
      </c>
      <c r="X89" s="98">
        <f t="shared" ref="X89:Y89" si="42" xml:space="preserve"> X21 * X50 * days_in_year / hundred</f>
        <v>0</v>
      </c>
      <c r="Y89" s="98">
        <f t="shared" si="42"/>
        <v>0</v>
      </c>
    </row>
    <row r="90" spans="3:27" x14ac:dyDescent="0.25">
      <c r="E90" s="28"/>
      <c r="F90" s="23" t="s">
        <v>162</v>
      </c>
      <c r="G90" s="85" t="s">
        <v>277</v>
      </c>
      <c r="H90" s="126">
        <f t="shared" si="0"/>
        <v>797703.16801313416</v>
      </c>
      <c r="I90" s="23"/>
      <c r="J90" s="126">
        <f t="shared" ref="J90:K90" si="43">J22 * thousand * J51 / hundred</f>
        <v>0</v>
      </c>
      <c r="K90" s="126">
        <f t="shared" si="43"/>
        <v>0</v>
      </c>
      <c r="L90" s="126">
        <f t="shared" ref="L90:M90" si="44">L22 * thousand * L51 / hundred</f>
        <v>0</v>
      </c>
      <c r="M90" s="126">
        <f t="shared" si="44"/>
        <v>0</v>
      </c>
      <c r="N90" s="126">
        <f t="shared" ref="N90:P90" si="45">N22 * thousand * N51 / hundred</f>
        <v>520329.46646727336</v>
      </c>
      <c r="O90" s="126">
        <f t="shared" si="45"/>
        <v>12581.414255117168</v>
      </c>
      <c r="P90" s="126">
        <f t="shared" si="45"/>
        <v>113454.38687246322</v>
      </c>
      <c r="Q90" s="126">
        <f t="shared" ref="Q90:S90" si="46">Q22 * thousand * Q51 / hundred</f>
        <v>0</v>
      </c>
      <c r="R90" s="126">
        <f t="shared" si="46"/>
        <v>0</v>
      </c>
      <c r="S90" s="126">
        <f t="shared" si="46"/>
        <v>0</v>
      </c>
      <c r="T90" s="126">
        <f t="shared" ref="T90:U90" si="47">T22 * thousand * T51 / hundred</f>
        <v>67849.362568096723</v>
      </c>
      <c r="U90" s="126">
        <f t="shared" si="47"/>
        <v>0</v>
      </c>
      <c r="V90" s="126">
        <f t="shared" ref="V90:W90" si="48">V22 * thousand * V51 / hundred</f>
        <v>0</v>
      </c>
      <c r="W90" s="126">
        <f t="shared" si="48"/>
        <v>0</v>
      </c>
      <c r="X90" s="126">
        <f t="shared" ref="X90:Y90" si="49">X22 * thousand * X51 / hundred</f>
        <v>83488.537850183769</v>
      </c>
      <c r="Y90" s="126">
        <f t="shared" si="49"/>
        <v>0</v>
      </c>
    </row>
    <row r="91" spans="3:27" x14ac:dyDescent="0.25">
      <c r="E91" s="28"/>
      <c r="F91" s="108" t="s">
        <v>100</v>
      </c>
      <c r="G91" s="218" t="s">
        <v>277</v>
      </c>
      <c r="H91" s="153">
        <f>SUM(H84:H90)</f>
        <v>244200702.80089411</v>
      </c>
      <c r="I91" s="54"/>
      <c r="J91" s="153">
        <f t="shared" ref="J91:K91" si="50">SUM(J84:J90)</f>
        <v>109725198.31771109</v>
      </c>
      <c r="K91" s="153">
        <f t="shared" si="50"/>
        <v>9874763.3383939695</v>
      </c>
      <c r="L91" s="153">
        <f t="shared" ref="L91:M91" si="51">SUM(L84:L90)</f>
        <v>38150022.716758579</v>
      </c>
      <c r="M91" s="153">
        <f t="shared" si="51"/>
        <v>1137905.4590927095</v>
      </c>
      <c r="N91" s="153">
        <f t="shared" ref="N91:P91" si="52">SUM(N84:N90)</f>
        <v>60048656.480704181</v>
      </c>
      <c r="O91" s="153">
        <f t="shared" si="52"/>
        <v>3681112.1336435834</v>
      </c>
      <c r="P91" s="153">
        <f t="shared" si="52"/>
        <v>32247297.475794278</v>
      </c>
      <c r="Q91" s="153">
        <f t="shared" ref="Q91:S91" si="53">SUM(Q84:Q90)</f>
        <v>4974665.0395298414</v>
      </c>
      <c r="R91" s="153">
        <f t="shared" si="53"/>
        <v>-92757.902207616542</v>
      </c>
      <c r="S91" s="153">
        <f t="shared" si="53"/>
        <v>-49.835370000000012</v>
      </c>
      <c r="T91" s="153">
        <f t="shared" ref="T91:U91" si="54">SUM(T84:T90)</f>
        <v>-5262673.4042747952</v>
      </c>
      <c r="U91" s="153">
        <f t="shared" si="54"/>
        <v>0</v>
      </c>
      <c r="V91" s="153">
        <f t="shared" ref="V91:W91" si="55">SUM(V84:V90)</f>
        <v>-44197.765358999961</v>
      </c>
      <c r="W91" s="153">
        <f t="shared" si="55"/>
        <v>0</v>
      </c>
      <c r="X91" s="153">
        <f t="shared" ref="X91:Y91" si="56">SUM(X84:X90)</f>
        <v>-10239239.25352273</v>
      </c>
      <c r="Y91" s="153">
        <f t="shared" si="56"/>
        <v>0</v>
      </c>
    </row>
    <row r="92" spans="3:27" x14ac:dyDescent="0.25">
      <c r="E92" s="28"/>
      <c r="G92" s="13"/>
      <c r="H92" s="89"/>
      <c r="J92" s="89"/>
      <c r="K92" s="89"/>
      <c r="L92" s="89"/>
      <c r="M92" s="89"/>
      <c r="N92" s="89"/>
      <c r="O92" s="89"/>
      <c r="P92" s="89"/>
      <c r="Q92" s="89"/>
      <c r="R92" s="89"/>
      <c r="S92" s="89"/>
      <c r="T92" s="89"/>
      <c r="U92" s="89"/>
      <c r="V92" s="89"/>
      <c r="W92" s="89"/>
      <c r="X92" s="89"/>
      <c r="Y92" s="89"/>
    </row>
    <row r="93" spans="3:27" x14ac:dyDescent="0.25">
      <c r="E93" s="32" t="s">
        <v>876</v>
      </c>
      <c r="G93" s="13"/>
      <c r="H93" s="217" t="s">
        <v>545</v>
      </c>
      <c r="J93" s="89"/>
      <c r="K93" s="89"/>
      <c r="L93" s="89"/>
      <c r="M93" s="89"/>
      <c r="N93" s="89"/>
      <c r="O93" s="89"/>
      <c r="P93" s="89"/>
      <c r="Q93" s="89"/>
      <c r="R93" s="89"/>
      <c r="S93" s="89"/>
      <c r="T93" s="89"/>
      <c r="U93" s="89"/>
      <c r="V93" s="89"/>
      <c r="W93" s="89"/>
      <c r="X93" s="89"/>
      <c r="Y93" s="89"/>
    </row>
    <row r="94" spans="3:27" x14ac:dyDescent="0.25">
      <c r="E94" s="28"/>
      <c r="F94" s="23" t="s">
        <v>156</v>
      </c>
      <c r="G94" s="85" t="s">
        <v>277</v>
      </c>
      <c r="H94" s="126">
        <f t="shared" ref="H94:H100" si="57">SUM(J94:Y94)</f>
        <v>106341.49194355185</v>
      </c>
      <c r="I94" s="23"/>
      <c r="J94" s="126">
        <f t="shared" ref="J94:K94" si="58">J25 * thousand * J54 / hundred</f>
        <v>89345.370510784633</v>
      </c>
      <c r="K94" s="126">
        <f t="shared" si="58"/>
        <v>0</v>
      </c>
      <c r="L94" s="126">
        <f t="shared" ref="L94:M94" si="59">L25 * thousand * L54 / hundred</f>
        <v>1073.3774024071636</v>
      </c>
      <c r="M94" s="126">
        <f t="shared" si="59"/>
        <v>0</v>
      </c>
      <c r="N94" s="126">
        <f t="shared" ref="N94:P94" si="60">N25 * thousand * N54 / hundred</f>
        <v>11817.015842830278</v>
      </c>
      <c r="O94" s="126">
        <f t="shared" si="60"/>
        <v>0</v>
      </c>
      <c r="P94" s="126">
        <f t="shared" si="60"/>
        <v>0</v>
      </c>
      <c r="Q94" s="126">
        <f t="shared" ref="Q94:S94" si="61">Q25 * thousand * Q54 / hundred</f>
        <v>4105.728187529774</v>
      </c>
      <c r="R94" s="126">
        <f t="shared" si="61"/>
        <v>0</v>
      </c>
      <c r="S94" s="126">
        <f t="shared" si="61"/>
        <v>0</v>
      </c>
      <c r="T94" s="126">
        <f t="shared" ref="T94:U94" si="62">T25 * thousand * T54 / hundred</f>
        <v>0</v>
      </c>
      <c r="U94" s="126">
        <f t="shared" si="62"/>
        <v>0</v>
      </c>
      <c r="V94" s="126">
        <f t="shared" ref="V94:W94" si="63">V25 * thousand * V54 / hundred</f>
        <v>0</v>
      </c>
      <c r="W94" s="126">
        <f t="shared" si="63"/>
        <v>0</v>
      </c>
      <c r="X94" s="126">
        <f t="shared" ref="X94:Y94" si="64">X25 * thousand * X54 / hundred</f>
        <v>0</v>
      </c>
      <c r="Y94" s="126">
        <f t="shared" si="64"/>
        <v>0</v>
      </c>
    </row>
    <row r="95" spans="3:27" x14ac:dyDescent="0.25">
      <c r="E95" s="28"/>
      <c r="F95" t="s">
        <v>157</v>
      </c>
      <c r="G95" s="13" t="s">
        <v>277</v>
      </c>
      <c r="H95" s="98">
        <f t="shared" si="57"/>
        <v>106697.65714030059</v>
      </c>
      <c r="J95" s="98">
        <f t="shared" ref="J95:K95" si="65">J26 * thousand * J55 / hundred</f>
        <v>88399.227830835967</v>
      </c>
      <c r="K95" s="98">
        <f t="shared" si="65"/>
        <v>0</v>
      </c>
      <c r="L95" s="98">
        <f t="shared" ref="L95:M95" si="66">L26 * thousand * L55 / hundred</f>
        <v>1689.0997267121688</v>
      </c>
      <c r="M95" s="98">
        <f t="shared" si="66"/>
        <v>0</v>
      </c>
      <c r="N95" s="98">
        <f t="shared" ref="N95:P95" si="67">N26 * thousand * N55 / hundred</f>
        <v>11552.31874664321</v>
      </c>
      <c r="O95" s="98">
        <f t="shared" si="67"/>
        <v>0</v>
      </c>
      <c r="P95" s="98">
        <f t="shared" si="67"/>
        <v>0</v>
      </c>
      <c r="Q95" s="98">
        <f t="shared" ref="Q95:S95" si="68">Q26 * thousand * Q55 / hundred</f>
        <v>5057.0108361092416</v>
      </c>
      <c r="R95" s="98">
        <f t="shared" si="68"/>
        <v>0</v>
      </c>
      <c r="S95" s="98">
        <f t="shared" si="68"/>
        <v>0</v>
      </c>
      <c r="T95" s="98">
        <f t="shared" ref="T95:U95" si="69">T26 * thousand * T55 / hundred</f>
        <v>0</v>
      </c>
      <c r="U95" s="98">
        <f t="shared" si="69"/>
        <v>0</v>
      </c>
      <c r="V95" s="98">
        <f t="shared" ref="V95:W95" si="70">V26 * thousand * V55 / hundred</f>
        <v>0</v>
      </c>
      <c r="W95" s="98">
        <f t="shared" si="70"/>
        <v>0</v>
      </c>
      <c r="X95" s="98">
        <f t="shared" ref="X95:Y95" si="71">X26 * thousand * X55 / hundred</f>
        <v>0</v>
      </c>
      <c r="Y95" s="98">
        <f t="shared" si="71"/>
        <v>0</v>
      </c>
    </row>
    <row r="96" spans="3:27" x14ac:dyDescent="0.25">
      <c r="E96" s="28"/>
      <c r="F96" t="s">
        <v>158</v>
      </c>
      <c r="G96" s="13" t="s">
        <v>277</v>
      </c>
      <c r="H96" s="98">
        <f t="shared" si="57"/>
        <v>56707.557715324379</v>
      </c>
      <c r="J96" s="98">
        <f t="shared" ref="J96:K96" si="72">J27 * thousand * J56 / hundred</f>
        <v>49396.947573399302</v>
      </c>
      <c r="K96" s="98">
        <f t="shared" si="72"/>
        <v>0</v>
      </c>
      <c r="L96" s="98">
        <f t="shared" ref="L96:M96" si="73">L27 * thousand * L56 / hundred</f>
        <v>547.12398596121614</v>
      </c>
      <c r="M96" s="98">
        <f t="shared" si="73"/>
        <v>0</v>
      </c>
      <c r="N96" s="98">
        <f t="shared" ref="N96:P96" si="74">N27 * thousand * N56 / hundred</f>
        <v>5394.469980237689</v>
      </c>
      <c r="O96" s="98">
        <f t="shared" si="74"/>
        <v>0</v>
      </c>
      <c r="P96" s="98">
        <f t="shared" si="74"/>
        <v>0</v>
      </c>
      <c r="Q96" s="98">
        <f t="shared" ref="Q96:S96" si="75">Q27 * thousand * Q56 / hundred</f>
        <v>1369.0161757261681</v>
      </c>
      <c r="R96" s="98">
        <f t="shared" si="75"/>
        <v>0</v>
      </c>
      <c r="S96" s="98">
        <f t="shared" si="75"/>
        <v>0</v>
      </c>
      <c r="T96" s="98">
        <f t="shared" ref="T96:U96" si="76">T27 * thousand * T56 / hundred</f>
        <v>0</v>
      </c>
      <c r="U96" s="98">
        <f t="shared" si="76"/>
        <v>0</v>
      </c>
      <c r="V96" s="98">
        <f t="shared" ref="V96:W96" si="77">V27 * thousand * V56 / hundred</f>
        <v>0</v>
      </c>
      <c r="W96" s="98">
        <f t="shared" si="77"/>
        <v>0</v>
      </c>
      <c r="X96" s="98">
        <f t="shared" ref="X96:Y96" si="78">X27 * thousand * X56 / hundred</f>
        <v>0</v>
      </c>
      <c r="Y96" s="98">
        <f t="shared" si="78"/>
        <v>0</v>
      </c>
    </row>
    <row r="97" spans="3:25" x14ac:dyDescent="0.25">
      <c r="E97" s="28"/>
      <c r="F97" s="23" t="s">
        <v>159</v>
      </c>
      <c r="G97" s="85" t="s">
        <v>277</v>
      </c>
      <c r="H97" s="126">
        <f t="shared" si="57"/>
        <v>62941.427725806461</v>
      </c>
      <c r="I97" s="23"/>
      <c r="J97" s="126">
        <f t="shared" ref="J97:K97" si="79" xml:space="preserve"> J28 * J57 * days_in_year / hundred</f>
        <v>61718.714225806456</v>
      </c>
      <c r="K97" s="126">
        <f t="shared" si="79"/>
        <v>0</v>
      </c>
      <c r="L97" s="126">
        <f t="shared" ref="L97:M97" si="80" xml:space="preserve"> L28 * L57 * days_in_year / hundred</f>
        <v>444.89850000000001</v>
      </c>
      <c r="M97" s="126">
        <f t="shared" si="80"/>
        <v>0</v>
      </c>
      <c r="N97" s="126">
        <f t="shared" ref="N97:P97" si="81" xml:space="preserve"> N28 * N57 * days_in_year / hundred</f>
        <v>777.81500000000005</v>
      </c>
      <c r="O97" s="126">
        <f t="shared" si="81"/>
        <v>0</v>
      </c>
      <c r="P97" s="126">
        <f t="shared" si="81"/>
        <v>0</v>
      </c>
      <c r="Q97" s="126">
        <f t="shared" ref="Q97:S97" si="82" xml:space="preserve"> Q28 * Q57 * days_in_year / hundred</f>
        <v>0</v>
      </c>
      <c r="R97" s="126">
        <f t="shared" si="82"/>
        <v>0</v>
      </c>
      <c r="S97" s="126">
        <f t="shared" si="82"/>
        <v>0</v>
      </c>
      <c r="T97" s="126">
        <f t="shared" ref="T97:U97" si="83" xml:space="preserve"> T28 * T57 * days_in_year / hundred</f>
        <v>0</v>
      </c>
      <c r="U97" s="126">
        <f t="shared" si="83"/>
        <v>0</v>
      </c>
      <c r="V97" s="126">
        <f t="shared" ref="V97:W97" si="84" xml:space="preserve"> V28 * V57 * days_in_year / hundred</f>
        <v>0</v>
      </c>
      <c r="W97" s="126">
        <f t="shared" si="84"/>
        <v>0</v>
      </c>
      <c r="X97" s="126">
        <f t="shared" ref="X97:Y97" si="85" xml:space="preserve"> X28 * X57 * days_in_year / hundred</f>
        <v>0</v>
      </c>
      <c r="Y97" s="126">
        <f t="shared" si="85"/>
        <v>0</v>
      </c>
    </row>
    <row r="98" spans="3:25" x14ac:dyDescent="0.25">
      <c r="E98" s="28"/>
      <c r="F98" t="s">
        <v>160</v>
      </c>
      <c r="G98" s="13" t="s">
        <v>277</v>
      </c>
      <c r="H98" s="98">
        <f t="shared" si="57"/>
        <v>30235.359</v>
      </c>
      <c r="J98" s="98">
        <f t="shared" ref="J98:K98" si="86" xml:space="preserve"> J29 * J58 * days_in_year / hundred</f>
        <v>0</v>
      </c>
      <c r="K98" s="98">
        <f t="shared" si="86"/>
        <v>0</v>
      </c>
      <c r="L98" s="98">
        <f t="shared" ref="L98:M98" si="87" xml:space="preserve"> L29 * L58 * days_in_year / hundred</f>
        <v>0</v>
      </c>
      <c r="M98" s="98">
        <f t="shared" si="87"/>
        <v>0</v>
      </c>
      <c r="N98" s="98">
        <f t="shared" ref="N98:P98" si="88" xml:space="preserve"> N29 * N58 * days_in_year / hundred</f>
        <v>30235.359</v>
      </c>
      <c r="O98" s="98">
        <f t="shared" si="88"/>
        <v>0</v>
      </c>
      <c r="P98" s="98">
        <f t="shared" si="88"/>
        <v>0</v>
      </c>
      <c r="Q98" s="98">
        <f t="shared" ref="Q98:S98" si="89" xml:space="preserve"> Q29 * Q58 * days_in_year / hundred</f>
        <v>0</v>
      </c>
      <c r="R98" s="98">
        <f t="shared" si="89"/>
        <v>0</v>
      </c>
      <c r="S98" s="98">
        <f t="shared" si="89"/>
        <v>0</v>
      </c>
      <c r="T98" s="98">
        <f t="shared" ref="T98:U98" si="90" xml:space="preserve"> T29 * T58 * days_in_year / hundred</f>
        <v>0</v>
      </c>
      <c r="U98" s="98">
        <f t="shared" si="90"/>
        <v>0</v>
      </c>
      <c r="V98" s="98">
        <f t="shared" ref="V98:W98" si="91" xml:space="preserve"> V29 * V58 * days_in_year / hundred</f>
        <v>0</v>
      </c>
      <c r="W98" s="98">
        <f t="shared" si="91"/>
        <v>0</v>
      </c>
      <c r="X98" s="98">
        <f t="shared" ref="X98:Y98" si="92" xml:space="preserve"> X29 * X58 * days_in_year / hundred</f>
        <v>0</v>
      </c>
      <c r="Y98" s="98">
        <f t="shared" si="92"/>
        <v>0</v>
      </c>
    </row>
    <row r="99" spans="3:25" x14ac:dyDescent="0.25">
      <c r="E99" s="28"/>
      <c r="F99" t="s">
        <v>161</v>
      </c>
      <c r="G99" s="13" t="s">
        <v>277</v>
      </c>
      <c r="H99" s="98">
        <f t="shared" si="57"/>
        <v>0</v>
      </c>
      <c r="J99" s="98">
        <f t="shared" ref="J99:K99" si="93" xml:space="preserve"> J30 * J59 * days_in_year / hundred</f>
        <v>0</v>
      </c>
      <c r="K99" s="98">
        <f t="shared" si="93"/>
        <v>0</v>
      </c>
      <c r="L99" s="98">
        <f t="shared" ref="L99:M99" si="94" xml:space="preserve"> L30 * L59 * days_in_year / hundred</f>
        <v>0</v>
      </c>
      <c r="M99" s="98">
        <f t="shared" si="94"/>
        <v>0</v>
      </c>
      <c r="N99" s="98">
        <f t="shared" ref="N99:P99" si="95" xml:space="preserve"> N30 * N59 * days_in_year / hundred</f>
        <v>0</v>
      </c>
      <c r="O99" s="98">
        <f t="shared" si="95"/>
        <v>0</v>
      </c>
      <c r="P99" s="98">
        <f t="shared" si="95"/>
        <v>0</v>
      </c>
      <c r="Q99" s="98">
        <f t="shared" ref="Q99:S99" si="96" xml:space="preserve"> Q30 * Q59 * days_in_year / hundred</f>
        <v>0</v>
      </c>
      <c r="R99" s="98">
        <f t="shared" si="96"/>
        <v>0</v>
      </c>
      <c r="S99" s="98">
        <f t="shared" si="96"/>
        <v>0</v>
      </c>
      <c r="T99" s="98">
        <f t="shared" ref="T99:U99" si="97" xml:space="preserve"> T30 * T59 * days_in_year / hundred</f>
        <v>0</v>
      </c>
      <c r="U99" s="98">
        <f t="shared" si="97"/>
        <v>0</v>
      </c>
      <c r="V99" s="98">
        <f t="shared" ref="V99:W99" si="98" xml:space="preserve"> V30 * V59 * days_in_year / hundred</f>
        <v>0</v>
      </c>
      <c r="W99" s="98">
        <f t="shared" si="98"/>
        <v>0</v>
      </c>
      <c r="X99" s="98">
        <f t="shared" ref="X99:Y99" si="99" xml:space="preserve"> X30 * X59 * days_in_year / hundred</f>
        <v>0</v>
      </c>
      <c r="Y99" s="98">
        <f t="shared" si="99"/>
        <v>0</v>
      </c>
    </row>
    <row r="100" spans="3:25" x14ac:dyDescent="0.25">
      <c r="E100" s="28"/>
      <c r="F100" s="23" t="s">
        <v>162</v>
      </c>
      <c r="G100" s="85" t="s">
        <v>277</v>
      </c>
      <c r="H100" s="126">
        <f t="shared" si="57"/>
        <v>126.47384192388341</v>
      </c>
      <c r="I100" s="23"/>
      <c r="J100" s="126">
        <f t="shared" ref="J100:K100" si="100">J31 * thousand * J60 / hundred</f>
        <v>0</v>
      </c>
      <c r="K100" s="126">
        <f t="shared" si="100"/>
        <v>0</v>
      </c>
      <c r="L100" s="126">
        <f t="shared" ref="L100:M100" si="101">L31 * thousand * L60 / hundred</f>
        <v>0</v>
      </c>
      <c r="M100" s="126">
        <f t="shared" si="101"/>
        <v>0</v>
      </c>
      <c r="N100" s="126">
        <f t="shared" ref="N100:P100" si="102">N31 * thousand * N60 / hundred</f>
        <v>126.47384192388341</v>
      </c>
      <c r="O100" s="126">
        <f t="shared" si="102"/>
        <v>0</v>
      </c>
      <c r="P100" s="126">
        <f t="shared" si="102"/>
        <v>0</v>
      </c>
      <c r="Q100" s="126">
        <f t="shared" ref="Q100:S100" si="103">Q31 * thousand * Q60 / hundred</f>
        <v>0</v>
      </c>
      <c r="R100" s="126">
        <f t="shared" si="103"/>
        <v>0</v>
      </c>
      <c r="S100" s="126">
        <f t="shared" si="103"/>
        <v>0</v>
      </c>
      <c r="T100" s="126">
        <f t="shared" ref="T100:U100" si="104">T31 * thousand * T60 / hundred</f>
        <v>0</v>
      </c>
      <c r="U100" s="126">
        <f t="shared" si="104"/>
        <v>0</v>
      </c>
      <c r="V100" s="126">
        <f t="shared" ref="V100:W100" si="105">V31 * thousand * V60 / hundred</f>
        <v>0</v>
      </c>
      <c r="W100" s="126">
        <f t="shared" si="105"/>
        <v>0</v>
      </c>
      <c r="X100" s="126">
        <f t="shared" ref="X100:Y100" si="106">X31 * thousand * X60 / hundred</f>
        <v>0</v>
      </c>
      <c r="Y100" s="126">
        <f t="shared" si="106"/>
        <v>0</v>
      </c>
    </row>
    <row r="101" spans="3:25" x14ac:dyDescent="0.25">
      <c r="E101" s="28"/>
      <c r="F101" s="108" t="s">
        <v>100</v>
      </c>
      <c r="G101" s="218" t="s">
        <v>277</v>
      </c>
      <c r="H101" s="153">
        <f>SUM(H94:H100)</f>
        <v>363049.96736690716</v>
      </c>
      <c r="I101" s="108"/>
      <c r="J101" s="153">
        <f t="shared" ref="J101:K101" si="107">SUM(J94:J100)</f>
        <v>288860.26014082634</v>
      </c>
      <c r="K101" s="153">
        <f t="shared" si="107"/>
        <v>0</v>
      </c>
      <c r="L101" s="153">
        <f t="shared" ref="L101:M101" si="108">SUM(L94:L100)</f>
        <v>3754.4996150805482</v>
      </c>
      <c r="M101" s="153">
        <f t="shared" si="108"/>
        <v>0</v>
      </c>
      <c r="N101" s="153">
        <f t="shared" ref="N101:P101" si="109">SUM(N94:N100)</f>
        <v>59903.452411635066</v>
      </c>
      <c r="O101" s="153">
        <f t="shared" si="109"/>
        <v>0</v>
      </c>
      <c r="P101" s="153">
        <f t="shared" si="109"/>
        <v>0</v>
      </c>
      <c r="Q101" s="153">
        <f t="shared" ref="Q101:S101" si="110">SUM(Q94:Q100)</f>
        <v>10531.755199365185</v>
      </c>
      <c r="R101" s="153">
        <f t="shared" si="110"/>
        <v>0</v>
      </c>
      <c r="S101" s="153">
        <f t="shared" si="110"/>
        <v>0</v>
      </c>
      <c r="T101" s="153">
        <f t="shared" ref="T101:U101" si="111">SUM(T94:T100)</f>
        <v>0</v>
      </c>
      <c r="U101" s="153">
        <f t="shared" si="111"/>
        <v>0</v>
      </c>
      <c r="V101" s="153">
        <f t="shared" ref="V101:W101" si="112">SUM(V94:V100)</f>
        <v>0</v>
      </c>
      <c r="W101" s="153">
        <f t="shared" si="112"/>
        <v>0</v>
      </c>
      <c r="X101" s="153">
        <f t="shared" ref="X101:Y101" si="113">SUM(X94:X100)</f>
        <v>0</v>
      </c>
      <c r="Y101" s="153">
        <f t="shared" si="113"/>
        <v>0</v>
      </c>
    </row>
    <row r="102" spans="3:25" x14ac:dyDescent="0.25">
      <c r="E102" s="28"/>
      <c r="G102" s="13"/>
      <c r="H102" s="89"/>
      <c r="J102" s="89"/>
      <c r="K102" s="89"/>
      <c r="L102" s="89"/>
      <c r="M102" s="89"/>
      <c r="N102" s="89"/>
      <c r="O102" s="89"/>
      <c r="P102" s="89"/>
      <c r="Q102" s="89"/>
      <c r="R102" s="89"/>
      <c r="S102" s="89"/>
      <c r="T102" s="89"/>
      <c r="U102" s="89"/>
      <c r="V102" s="89"/>
      <c r="W102" s="89"/>
      <c r="X102" s="89"/>
      <c r="Y102" s="89"/>
    </row>
    <row r="103" spans="3:25" x14ac:dyDescent="0.25">
      <c r="E103" s="32" t="s">
        <v>877</v>
      </c>
      <c r="G103" s="13"/>
      <c r="H103" s="217" t="s">
        <v>545</v>
      </c>
      <c r="J103" s="89"/>
      <c r="K103" s="89"/>
      <c r="L103" s="89"/>
      <c r="M103" s="89"/>
      <c r="N103" s="89"/>
      <c r="O103" s="89"/>
      <c r="P103" s="89"/>
      <c r="Q103" s="89"/>
      <c r="R103" s="89"/>
      <c r="S103" s="89"/>
      <c r="T103" s="89"/>
      <c r="U103" s="89"/>
      <c r="V103" s="89"/>
      <c r="W103" s="89"/>
      <c r="X103" s="89"/>
      <c r="Y103" s="89"/>
    </row>
    <row r="104" spans="3:25" x14ac:dyDescent="0.25">
      <c r="C104" s="88"/>
      <c r="F104" s="23" t="s">
        <v>156</v>
      </c>
      <c r="G104" s="85" t="s">
        <v>277</v>
      </c>
      <c r="H104" s="126">
        <f t="shared" ref="H104:H110" si="114">SUM(J104:Y104)</f>
        <v>139472.74079461783</v>
      </c>
      <c r="I104" s="23"/>
      <c r="J104" s="126">
        <f t="shared" ref="J104:K104" si="115">J34 * thousand * J63 / hundred</f>
        <v>115542.16674418408</v>
      </c>
      <c r="K104" s="126">
        <f t="shared" si="115"/>
        <v>0</v>
      </c>
      <c r="L104" s="126">
        <f t="shared" ref="L104:M104" si="116">L34 * thousand * L63 / hundred</f>
        <v>4241.1607348926827</v>
      </c>
      <c r="M104" s="126">
        <f t="shared" si="116"/>
        <v>0</v>
      </c>
      <c r="N104" s="126">
        <f t="shared" ref="N104:P104" si="117">N34 * thousand * N63 / hundred</f>
        <v>18209.054255726456</v>
      </c>
      <c r="O104" s="126">
        <f t="shared" si="117"/>
        <v>1254.8943810703806</v>
      </c>
      <c r="P104" s="126">
        <f t="shared" si="117"/>
        <v>225.46467874422407</v>
      </c>
      <c r="Q104" s="126">
        <f t="shared" ref="Q104:S104" si="118">Q34 * thousand * Q63 / hundred</f>
        <v>0</v>
      </c>
      <c r="R104" s="126">
        <f t="shared" si="118"/>
        <v>0</v>
      </c>
      <c r="S104" s="126">
        <f t="shared" si="118"/>
        <v>0</v>
      </c>
      <c r="T104" s="126">
        <f t="shared" ref="T104:U104" si="119">T34 * thousand * T63 / hundred</f>
        <v>0</v>
      </c>
      <c r="U104" s="126">
        <f t="shared" si="119"/>
        <v>0</v>
      </c>
      <c r="V104" s="126">
        <f t="shared" ref="V104:W104" si="120">V34 * thousand * V63 / hundred</f>
        <v>0</v>
      </c>
      <c r="W104" s="126">
        <f t="shared" si="120"/>
        <v>0</v>
      </c>
      <c r="X104" s="126">
        <f t="shared" ref="X104:Y104" si="121">X34 * thousand * X63 / hundred</f>
        <v>0</v>
      </c>
      <c r="Y104" s="126">
        <f t="shared" si="121"/>
        <v>0</v>
      </c>
    </row>
    <row r="105" spans="3:25" x14ac:dyDescent="0.25">
      <c r="C105" s="88"/>
      <c r="F105" t="s">
        <v>157</v>
      </c>
      <c r="G105" s="13" t="s">
        <v>277</v>
      </c>
      <c r="H105" s="98">
        <f t="shared" si="114"/>
        <v>165859.41438202339</v>
      </c>
      <c r="J105" s="98">
        <f t="shared" ref="J105:K105" si="122">J35 * thousand * J64 / hundred</f>
        <v>115011.74236734852</v>
      </c>
      <c r="K105" s="98">
        <f t="shared" si="122"/>
        <v>0</v>
      </c>
      <c r="L105" s="98">
        <f t="shared" ref="L105:M105" si="123">L35 * thousand * L64 / hundred</f>
        <v>5685.6917516826315</v>
      </c>
      <c r="M105" s="98">
        <f t="shared" si="123"/>
        <v>0</v>
      </c>
      <c r="N105" s="98">
        <f t="shared" ref="N105:P105" si="124">N35 * thousand * N64 / hundred</f>
        <v>42859.520870718283</v>
      </c>
      <c r="O105" s="98">
        <f t="shared" si="124"/>
        <v>1874.827080987151</v>
      </c>
      <c r="P105" s="98">
        <f t="shared" si="124"/>
        <v>401.76766867553198</v>
      </c>
      <c r="Q105" s="98">
        <f t="shared" ref="Q105:S105" si="125">Q35 * thousand * Q64 / hundred</f>
        <v>25.864642611226767</v>
      </c>
      <c r="R105" s="98">
        <f t="shared" si="125"/>
        <v>0</v>
      </c>
      <c r="S105" s="98">
        <f t="shared" si="125"/>
        <v>0</v>
      </c>
      <c r="T105" s="98">
        <f t="shared" ref="T105:U105" si="126">T35 * thousand * T64 / hundred</f>
        <v>0</v>
      </c>
      <c r="U105" s="98">
        <f t="shared" si="126"/>
        <v>0</v>
      </c>
      <c r="V105" s="98">
        <f t="shared" ref="V105:W105" si="127">V35 * thousand * V64 / hundred</f>
        <v>0</v>
      </c>
      <c r="W105" s="98">
        <f t="shared" si="127"/>
        <v>0</v>
      </c>
      <c r="X105" s="98">
        <f t="shared" ref="X105:Y105" si="128">X35 * thousand * X64 / hundred</f>
        <v>0</v>
      </c>
      <c r="Y105" s="98">
        <f t="shared" si="128"/>
        <v>0</v>
      </c>
    </row>
    <row r="106" spans="3:25" x14ac:dyDescent="0.25">
      <c r="C106" s="88"/>
      <c r="F106" t="s">
        <v>158</v>
      </c>
      <c r="G106" s="13" t="s">
        <v>277</v>
      </c>
      <c r="H106" s="98">
        <f t="shared" si="114"/>
        <v>92003.340507238332</v>
      </c>
      <c r="J106" s="98">
        <f t="shared" ref="J106:K106" si="129">J36 * thousand * J65 / hundred</f>
        <v>62749.221982791882</v>
      </c>
      <c r="K106" s="98">
        <f t="shared" si="129"/>
        <v>0</v>
      </c>
      <c r="L106" s="98">
        <f t="shared" ref="L106:M106" si="130">L36 * thousand * L65 / hundred</f>
        <v>2201.3365788311594</v>
      </c>
      <c r="M106" s="98">
        <f t="shared" si="130"/>
        <v>0</v>
      </c>
      <c r="N106" s="98">
        <f t="shared" ref="N106:P106" si="131">N36 * thousand * N65 / hundred</f>
        <v>25111.549233588321</v>
      </c>
      <c r="O106" s="98">
        <f t="shared" si="131"/>
        <v>1665.6236642925464</v>
      </c>
      <c r="P106" s="98">
        <f t="shared" si="131"/>
        <v>265.54521345051035</v>
      </c>
      <c r="Q106" s="98">
        <f t="shared" ref="Q106:S106" si="132">Q36 * thousand * Q65 / hundred</f>
        <v>10.063834283925445</v>
      </c>
      <c r="R106" s="98">
        <f t="shared" si="132"/>
        <v>0</v>
      </c>
      <c r="S106" s="98">
        <f t="shared" si="132"/>
        <v>0</v>
      </c>
      <c r="T106" s="98">
        <f t="shared" ref="T106:U106" si="133">T36 * thousand * T65 / hundred</f>
        <v>0</v>
      </c>
      <c r="U106" s="98">
        <f t="shared" si="133"/>
        <v>0</v>
      </c>
      <c r="V106" s="98">
        <f t="shared" ref="V106:W106" si="134">V36 * thousand * V65 / hundred</f>
        <v>0</v>
      </c>
      <c r="W106" s="98">
        <f t="shared" si="134"/>
        <v>0</v>
      </c>
      <c r="X106" s="98">
        <f t="shared" ref="X106:Y106" si="135">X36 * thousand * X65 / hundred</f>
        <v>0</v>
      </c>
      <c r="Y106" s="98">
        <f t="shared" si="135"/>
        <v>0</v>
      </c>
    </row>
    <row r="107" spans="3:25" x14ac:dyDescent="0.25">
      <c r="C107" s="88"/>
      <c r="F107" s="23" t="s">
        <v>159</v>
      </c>
      <c r="G107" s="85" t="s">
        <v>277</v>
      </c>
      <c r="H107" s="126">
        <f t="shared" si="114"/>
        <v>86244.991399171035</v>
      </c>
      <c r="I107" s="23"/>
      <c r="J107" s="126">
        <f t="shared" ref="J107:K107" si="136" xml:space="preserve"> J37 * J66 * days_in_year / hundred</f>
        <v>83677.037602993194</v>
      </c>
      <c r="K107" s="126">
        <f t="shared" si="136"/>
        <v>0</v>
      </c>
      <c r="L107" s="126">
        <f t="shared" ref="L107:M107" si="137" xml:space="preserve"> L37 * L66 * days_in_year / hundred</f>
        <v>1199.0070552871302</v>
      </c>
      <c r="M107" s="126">
        <f t="shared" si="137"/>
        <v>0</v>
      </c>
      <c r="N107" s="126">
        <f t="shared" ref="N107:P107" si="138" xml:space="preserve"> N37 * N66 * days_in_year / hundred</f>
        <v>430.23974089071118</v>
      </c>
      <c r="O107" s="126">
        <f t="shared" si="138"/>
        <v>132.75049999999999</v>
      </c>
      <c r="P107" s="126">
        <f t="shared" si="138"/>
        <v>805.95649999999989</v>
      </c>
      <c r="Q107" s="126">
        <f t="shared" ref="Q107:S107" si="139" xml:space="preserve"> Q37 * Q66 * days_in_year / hundred</f>
        <v>0</v>
      </c>
      <c r="R107" s="126">
        <f t="shared" si="139"/>
        <v>0</v>
      </c>
      <c r="S107" s="126">
        <f t="shared" si="139"/>
        <v>0</v>
      </c>
      <c r="T107" s="126">
        <f t="shared" ref="T107:U107" si="140" xml:space="preserve"> T37 * T66 * days_in_year / hundred</f>
        <v>0</v>
      </c>
      <c r="U107" s="126">
        <f t="shared" si="140"/>
        <v>0</v>
      </c>
      <c r="V107" s="126">
        <f t="shared" ref="V107:W107" si="141" xml:space="preserve"> V37 * V66 * days_in_year / hundred</f>
        <v>0</v>
      </c>
      <c r="W107" s="126">
        <f t="shared" si="141"/>
        <v>0</v>
      </c>
      <c r="X107" s="126">
        <f t="shared" ref="X107:Y107" si="142" xml:space="preserve"> X37 * X66 * days_in_year / hundred</f>
        <v>0</v>
      </c>
      <c r="Y107" s="126">
        <f t="shared" si="142"/>
        <v>0</v>
      </c>
    </row>
    <row r="108" spans="3:25" x14ac:dyDescent="0.25">
      <c r="C108" s="88"/>
      <c r="F108" t="s">
        <v>160</v>
      </c>
      <c r="G108" s="13" t="s">
        <v>277</v>
      </c>
      <c r="H108" s="98">
        <f t="shared" si="114"/>
        <v>559262.16155428719</v>
      </c>
      <c r="J108" s="98">
        <f t="shared" ref="J108:K108" si="143" xml:space="preserve"> J38 * J67 * days_in_year / hundred</f>
        <v>0</v>
      </c>
      <c r="K108" s="98">
        <f t="shared" si="143"/>
        <v>0</v>
      </c>
      <c r="L108" s="98">
        <f t="shared" ref="L108:M108" si="144" xml:space="preserve"> L38 * L67 * days_in_year / hundred</f>
        <v>0</v>
      </c>
      <c r="M108" s="98">
        <f t="shared" si="144"/>
        <v>0</v>
      </c>
      <c r="N108" s="98">
        <f t="shared" ref="N108:P108" si="145" xml:space="preserve"> N38 * N67 * days_in_year / hundred</f>
        <v>31765.475554287212</v>
      </c>
      <c r="O108" s="98">
        <f t="shared" si="145"/>
        <v>11140.311000000003</v>
      </c>
      <c r="P108" s="98">
        <f t="shared" si="145"/>
        <v>516356.375</v>
      </c>
      <c r="Q108" s="98">
        <f t="shared" ref="Q108:S108" si="146" xml:space="preserve"> Q38 * Q67 * days_in_year / hundred</f>
        <v>0</v>
      </c>
      <c r="R108" s="98">
        <f t="shared" si="146"/>
        <v>0</v>
      </c>
      <c r="S108" s="98">
        <f t="shared" si="146"/>
        <v>0</v>
      </c>
      <c r="T108" s="98">
        <f t="shared" ref="T108:U108" si="147" xml:space="preserve"> T38 * T67 * days_in_year / hundred</f>
        <v>0</v>
      </c>
      <c r="U108" s="98">
        <f t="shared" si="147"/>
        <v>0</v>
      </c>
      <c r="V108" s="98">
        <f t="shared" ref="V108:W108" si="148" xml:space="preserve"> V38 * V67 * days_in_year / hundred</f>
        <v>0</v>
      </c>
      <c r="W108" s="98">
        <f t="shared" si="148"/>
        <v>0</v>
      </c>
      <c r="X108" s="98">
        <f t="shared" ref="X108:Y108" si="149" xml:space="preserve"> X38 * X67 * days_in_year / hundred</f>
        <v>0</v>
      </c>
      <c r="Y108" s="98">
        <f t="shared" si="149"/>
        <v>0</v>
      </c>
    </row>
    <row r="109" spans="3:25" x14ac:dyDescent="0.25">
      <c r="C109" s="88"/>
      <c r="F109" t="s">
        <v>161</v>
      </c>
      <c r="G109" s="13" t="s">
        <v>277</v>
      </c>
      <c r="H109" s="98">
        <f t="shared" si="114"/>
        <v>17022.404532987694</v>
      </c>
      <c r="J109" s="98">
        <f t="shared" ref="J109:K109" si="150" xml:space="preserve"> J39 * J68 * days_in_year / hundred</f>
        <v>0</v>
      </c>
      <c r="K109" s="98">
        <f t="shared" si="150"/>
        <v>0</v>
      </c>
      <c r="L109" s="98">
        <f t="shared" ref="L109:M109" si="151" xml:space="preserve"> L39 * L68 * days_in_year / hundred</f>
        <v>0</v>
      </c>
      <c r="M109" s="98">
        <f t="shared" si="151"/>
        <v>0</v>
      </c>
      <c r="N109" s="98">
        <f t="shared" ref="N109:P109" si="152" xml:space="preserve"> N39 * N68 * days_in_year / hundred</f>
        <v>17022.404532987694</v>
      </c>
      <c r="O109" s="98">
        <f t="shared" si="152"/>
        <v>0</v>
      </c>
      <c r="P109" s="98">
        <f t="shared" si="152"/>
        <v>0</v>
      </c>
      <c r="Q109" s="98">
        <f t="shared" ref="Q109:S109" si="153" xml:space="preserve"> Q39 * Q68 * days_in_year / hundred</f>
        <v>0</v>
      </c>
      <c r="R109" s="98">
        <f t="shared" si="153"/>
        <v>0</v>
      </c>
      <c r="S109" s="98">
        <f t="shared" si="153"/>
        <v>0</v>
      </c>
      <c r="T109" s="98">
        <f t="shared" ref="T109:U109" si="154" xml:space="preserve"> T39 * T68 * days_in_year / hundred</f>
        <v>0</v>
      </c>
      <c r="U109" s="98">
        <f t="shared" si="154"/>
        <v>0</v>
      </c>
      <c r="V109" s="98">
        <f t="shared" ref="V109:W109" si="155" xml:space="preserve"> V39 * V68 * days_in_year / hundred</f>
        <v>0</v>
      </c>
      <c r="W109" s="98">
        <f t="shared" si="155"/>
        <v>0</v>
      </c>
      <c r="X109" s="98">
        <f t="shared" ref="X109:Y109" si="156" xml:space="preserve"> X39 * X68 * days_in_year / hundred</f>
        <v>0</v>
      </c>
      <c r="Y109" s="98">
        <f t="shared" si="156"/>
        <v>0</v>
      </c>
    </row>
    <row r="110" spans="3:25" x14ac:dyDescent="0.25">
      <c r="C110" s="88"/>
      <c r="F110" s="23" t="s">
        <v>162</v>
      </c>
      <c r="G110" s="85" t="s">
        <v>277</v>
      </c>
      <c r="H110" s="126">
        <f t="shared" si="114"/>
        <v>982.70070314581722</v>
      </c>
      <c r="I110" s="23"/>
      <c r="J110" s="126">
        <f t="shared" ref="J110:K110" si="157">J40 * thousand * J69 / hundred</f>
        <v>0</v>
      </c>
      <c r="K110" s="126">
        <f t="shared" si="157"/>
        <v>0</v>
      </c>
      <c r="L110" s="126">
        <f t="shared" ref="L110:M110" si="158">L40 * thousand * L69 / hundred</f>
        <v>0</v>
      </c>
      <c r="M110" s="126">
        <f t="shared" si="158"/>
        <v>0</v>
      </c>
      <c r="N110" s="126">
        <f t="shared" ref="N110:P110" si="159">N40 * thousand * N69 / hundred</f>
        <v>982.70070314581722</v>
      </c>
      <c r="O110" s="126">
        <f t="shared" si="159"/>
        <v>0</v>
      </c>
      <c r="P110" s="126">
        <f t="shared" si="159"/>
        <v>0</v>
      </c>
      <c r="Q110" s="126">
        <f t="shared" ref="Q110:S110" si="160">Q40 * thousand * Q69 / hundred</f>
        <v>0</v>
      </c>
      <c r="R110" s="126">
        <f t="shared" si="160"/>
        <v>0</v>
      </c>
      <c r="S110" s="126">
        <f t="shared" si="160"/>
        <v>0</v>
      </c>
      <c r="T110" s="126">
        <f t="shared" ref="T110:U110" si="161">T40 * thousand * T69 / hundred</f>
        <v>0</v>
      </c>
      <c r="U110" s="126">
        <f t="shared" si="161"/>
        <v>0</v>
      </c>
      <c r="V110" s="126">
        <f t="shared" ref="V110:W110" si="162">V40 * thousand * V69 / hundred</f>
        <v>0</v>
      </c>
      <c r="W110" s="126">
        <f t="shared" si="162"/>
        <v>0</v>
      </c>
      <c r="X110" s="126">
        <f t="shared" ref="X110:Y110" si="163">X40 * thousand * X69 / hundred</f>
        <v>0</v>
      </c>
      <c r="Y110" s="126">
        <f t="shared" si="163"/>
        <v>0</v>
      </c>
    </row>
    <row r="111" spans="3:25" x14ac:dyDescent="0.25">
      <c r="C111" s="88"/>
      <c r="F111" s="108" t="s">
        <v>100</v>
      </c>
      <c r="G111" s="218" t="s">
        <v>277</v>
      </c>
      <c r="H111" s="153">
        <f>SUM(H104:H110)</f>
        <v>1060847.7538734712</v>
      </c>
      <c r="I111" s="108"/>
      <c r="J111" s="153">
        <f t="shared" ref="J111:K111" si="164">SUM(J104:J110)</f>
        <v>376980.16869731771</v>
      </c>
      <c r="K111" s="153">
        <f t="shared" si="164"/>
        <v>0</v>
      </c>
      <c r="L111" s="153">
        <f t="shared" ref="L111:M111" si="165">SUM(L104:L110)</f>
        <v>13327.196120693603</v>
      </c>
      <c r="M111" s="153">
        <f t="shared" si="165"/>
        <v>0</v>
      </c>
      <c r="N111" s="153">
        <f t="shared" ref="N111:P111" si="166">SUM(N104:N110)</f>
        <v>136380.94489134449</v>
      </c>
      <c r="O111" s="153">
        <f t="shared" si="166"/>
        <v>16068.406626350081</v>
      </c>
      <c r="P111" s="153">
        <f t="shared" si="166"/>
        <v>518055.10906087025</v>
      </c>
      <c r="Q111" s="153">
        <f t="shared" ref="Q111:S111" si="167">SUM(Q104:Q110)</f>
        <v>35.928476895152215</v>
      </c>
      <c r="R111" s="153">
        <f t="shared" si="167"/>
        <v>0</v>
      </c>
      <c r="S111" s="153">
        <f t="shared" si="167"/>
        <v>0</v>
      </c>
      <c r="T111" s="153">
        <f t="shared" ref="T111:U111" si="168">SUM(T104:T110)</f>
        <v>0</v>
      </c>
      <c r="U111" s="153">
        <f t="shared" si="168"/>
        <v>0</v>
      </c>
      <c r="V111" s="153">
        <f t="shared" ref="V111:W111" si="169">SUM(V104:V110)</f>
        <v>0</v>
      </c>
      <c r="W111" s="153">
        <f t="shared" si="169"/>
        <v>0</v>
      </c>
      <c r="X111" s="153">
        <f t="shared" ref="X111:Y111" si="170">SUM(X104:X110)</f>
        <v>0</v>
      </c>
      <c r="Y111" s="153">
        <f t="shared" si="170"/>
        <v>0</v>
      </c>
    </row>
    <row r="112" spans="3:25" x14ac:dyDescent="0.25">
      <c r="C112" s="88"/>
      <c r="D112" s="2"/>
      <c r="E112" s="2"/>
      <c r="G112" s="13"/>
      <c r="H112" s="89"/>
      <c r="J112" s="89"/>
      <c r="K112" s="89"/>
      <c r="L112" s="89"/>
      <c r="M112" s="89"/>
      <c r="N112" s="89"/>
      <c r="O112" s="89"/>
      <c r="P112" s="89"/>
      <c r="Q112" s="89"/>
      <c r="R112" s="89"/>
      <c r="S112" s="89"/>
      <c r="T112" s="89"/>
      <c r="U112" s="89"/>
      <c r="V112" s="89"/>
      <c r="W112" s="89"/>
      <c r="X112" s="89"/>
      <c r="Y112" s="89"/>
    </row>
    <row r="113" spans="3:27" x14ac:dyDescent="0.25">
      <c r="C113" s="31" t="str">
        <f ca="1">INDEX('Version control'!$H$34:$H$57,MATCH($A$1,'Version control'!$F$34:$F$57,0),1)&amp;"-E: Net revenue summary (for information only)"</f>
        <v>Section 118-E: Net revenue summary (for information only)</v>
      </c>
      <c r="D113" s="31"/>
      <c r="E113" s="31"/>
      <c r="F113" s="31"/>
      <c r="G113" s="31"/>
      <c r="H113" s="90"/>
      <c r="I113" s="31"/>
      <c r="J113" s="90"/>
      <c r="K113" s="90"/>
      <c r="L113" s="90"/>
      <c r="M113" s="90"/>
      <c r="N113" s="90"/>
      <c r="O113" s="90"/>
      <c r="P113" s="90"/>
      <c r="Q113" s="90"/>
      <c r="R113" s="90"/>
      <c r="S113" s="90"/>
      <c r="T113" s="90"/>
      <c r="U113" s="90"/>
      <c r="V113" s="90"/>
      <c r="W113" s="90"/>
      <c r="X113" s="90"/>
      <c r="Y113" s="90"/>
      <c r="Z113" s="31"/>
      <c r="AA113" s="31"/>
    </row>
    <row r="114" spans="3:27" x14ac:dyDescent="0.25">
      <c r="F114" s="3"/>
      <c r="G114" s="216"/>
      <c r="H114" s="127"/>
      <c r="I114" s="3"/>
      <c r="J114" s="89"/>
      <c r="K114" s="89"/>
      <c r="L114" s="89"/>
      <c r="M114" s="89"/>
      <c r="N114" s="89"/>
      <c r="O114" s="89"/>
      <c r="P114" s="89"/>
      <c r="Q114" s="89"/>
      <c r="R114" s="89"/>
      <c r="S114" s="89"/>
      <c r="T114" s="89"/>
      <c r="U114" s="89"/>
      <c r="V114" s="89"/>
      <c r="W114" s="89"/>
      <c r="X114" s="89"/>
      <c r="Y114" s="89"/>
    </row>
    <row r="115" spans="3:27" x14ac:dyDescent="0.25">
      <c r="E115" t="s">
        <v>738</v>
      </c>
      <c r="G115" s="13" t="s">
        <v>277</v>
      </c>
      <c r="H115" s="219">
        <f>H73</f>
        <v>245653706.80133021</v>
      </c>
      <c r="J115" s="199"/>
      <c r="K115" s="199"/>
      <c r="L115" s="199"/>
      <c r="M115" s="199"/>
      <c r="N115" s="199"/>
      <c r="O115" s="199"/>
      <c r="P115" s="199"/>
      <c r="Q115" s="199"/>
      <c r="R115" s="199"/>
      <c r="S115" s="199"/>
      <c r="T115" s="199"/>
      <c r="U115" s="199"/>
      <c r="V115" s="199"/>
      <c r="W115" s="199"/>
      <c r="X115" s="199"/>
      <c r="Y115" s="199"/>
    </row>
    <row r="116" spans="3:27" x14ac:dyDescent="0.25">
      <c r="E116" t="s">
        <v>878</v>
      </c>
      <c r="G116" s="13" t="s">
        <v>277</v>
      </c>
      <c r="H116" s="219">
        <f t="shared" ref="H116:H119" si="171">H74</f>
        <v>156868602.75387937</v>
      </c>
      <c r="J116" s="199"/>
      <c r="K116" s="199"/>
      <c r="L116" s="199"/>
      <c r="M116" s="199"/>
      <c r="N116" s="199"/>
      <c r="O116" s="199"/>
      <c r="P116" s="199"/>
      <c r="Q116" s="199"/>
      <c r="R116" s="199"/>
      <c r="S116" s="199"/>
      <c r="T116" s="199"/>
      <c r="U116" s="199"/>
      <c r="V116" s="199"/>
      <c r="W116" s="199"/>
      <c r="X116" s="199"/>
      <c r="Y116" s="199"/>
    </row>
    <row r="117" spans="3:27" x14ac:dyDescent="0.25">
      <c r="E117" t="s">
        <v>1055</v>
      </c>
      <c r="G117" s="13" t="s">
        <v>277</v>
      </c>
      <c r="H117" s="219">
        <f t="shared" si="171"/>
        <v>87349767.951301724</v>
      </c>
      <c r="J117" s="199"/>
      <c r="K117" s="199"/>
      <c r="L117" s="199"/>
      <c r="M117" s="199"/>
      <c r="N117" s="199"/>
      <c r="O117" s="199"/>
      <c r="P117" s="199"/>
      <c r="Q117" s="199"/>
      <c r="R117" s="199"/>
      <c r="S117" s="199"/>
      <c r="T117" s="199"/>
      <c r="U117" s="199"/>
      <c r="V117" s="199"/>
      <c r="W117" s="199"/>
      <c r="X117" s="199"/>
      <c r="Y117" s="199"/>
    </row>
    <row r="118" spans="3:27" x14ac:dyDescent="0.25">
      <c r="E118" t="s">
        <v>1056</v>
      </c>
      <c r="G118" s="13" t="s">
        <v>277</v>
      </c>
      <c r="H118" s="219">
        <f t="shared" si="171"/>
        <v>1435336.0961490816</v>
      </c>
      <c r="J118" s="199"/>
      <c r="K118" s="199"/>
      <c r="L118" s="199"/>
      <c r="M118" s="199"/>
      <c r="N118" s="199"/>
      <c r="O118" s="199"/>
      <c r="P118" s="199"/>
      <c r="Q118" s="199"/>
      <c r="R118" s="199"/>
      <c r="S118" s="199"/>
      <c r="T118" s="199"/>
      <c r="U118" s="199"/>
      <c r="V118" s="199"/>
      <c r="W118" s="199"/>
      <c r="X118" s="199"/>
      <c r="Y118" s="199"/>
    </row>
    <row r="119" spans="3:27" x14ac:dyDescent="0.25">
      <c r="E119" t="s">
        <v>1057</v>
      </c>
      <c r="G119" s="13" t="s">
        <v>277</v>
      </c>
      <c r="H119" s="219">
        <f t="shared" si="171"/>
        <v>0</v>
      </c>
      <c r="J119" s="199"/>
      <c r="K119" s="199"/>
      <c r="L119" s="199"/>
      <c r="M119" s="199"/>
      <c r="N119" s="199"/>
      <c r="O119" s="199"/>
      <c r="P119" s="199"/>
      <c r="Q119" s="199"/>
      <c r="R119" s="199"/>
      <c r="S119" s="199"/>
      <c r="T119" s="199"/>
      <c r="U119" s="199"/>
      <c r="V119" s="199"/>
      <c r="W119" s="199"/>
      <c r="X119" s="199"/>
      <c r="Y119" s="199"/>
    </row>
    <row r="120" spans="3:27" x14ac:dyDescent="0.25">
      <c r="E120" t="s">
        <v>879</v>
      </c>
      <c r="G120" s="13" t="s">
        <v>277</v>
      </c>
      <c r="H120" s="219">
        <f>SUM(H91,H101,H111) - SUM(H116:H118)</f>
        <v>-29106.279195696115</v>
      </c>
      <c r="J120" s="199"/>
      <c r="K120" s="199"/>
      <c r="L120" s="199"/>
      <c r="M120" s="199"/>
      <c r="N120" s="199"/>
      <c r="O120" s="199"/>
      <c r="P120" s="199"/>
      <c r="Q120" s="199"/>
      <c r="R120" s="199"/>
      <c r="S120" s="199"/>
      <c r="T120" s="199"/>
      <c r="U120" s="199"/>
      <c r="V120" s="199"/>
      <c r="W120" s="199"/>
      <c r="X120" s="199"/>
      <c r="Y120" s="199"/>
    </row>
    <row r="121" spans="3:27" x14ac:dyDescent="0.25">
      <c r="E121" s="108" t="s">
        <v>880</v>
      </c>
      <c r="F121" s="108"/>
      <c r="G121" s="218" t="s">
        <v>277</v>
      </c>
      <c r="H121" s="220">
        <f>SUM(H116:H120)</f>
        <v>245624600.52213448</v>
      </c>
      <c r="J121" s="199"/>
      <c r="K121" s="199"/>
      <c r="L121" s="199"/>
      <c r="M121" s="199"/>
      <c r="N121" s="199"/>
      <c r="O121" s="199"/>
      <c r="P121" s="199"/>
      <c r="Q121" s="199"/>
      <c r="R121" s="199"/>
      <c r="S121" s="199"/>
      <c r="T121" s="199"/>
      <c r="U121" s="199"/>
      <c r="V121" s="199"/>
      <c r="W121" s="199"/>
      <c r="X121" s="199"/>
      <c r="Y121" s="199"/>
    </row>
    <row r="122" spans="3:27" x14ac:dyDescent="0.25">
      <c r="G122" s="13"/>
      <c r="H122" s="199"/>
      <c r="J122" s="199"/>
      <c r="K122" s="199"/>
      <c r="L122" s="199"/>
      <c r="M122" s="199"/>
      <c r="N122" s="199"/>
      <c r="O122" s="199"/>
      <c r="P122" s="199"/>
      <c r="Q122" s="199"/>
      <c r="R122" s="199"/>
      <c r="S122" s="199"/>
      <c r="T122" s="199"/>
      <c r="U122" s="199"/>
      <c r="V122" s="199"/>
      <c r="W122" s="199"/>
      <c r="X122" s="199"/>
      <c r="Y122" s="199"/>
    </row>
    <row r="123" spans="3:27" x14ac:dyDescent="0.25">
      <c r="E123" t="s">
        <v>881</v>
      </c>
      <c r="G123" s="13" t="s">
        <v>277</v>
      </c>
      <c r="H123" s="331">
        <f>H121 - H115</f>
        <v>-29106.279195725918</v>
      </c>
      <c r="J123" s="199"/>
      <c r="K123" s="199"/>
      <c r="L123" s="199"/>
      <c r="M123" s="199"/>
      <c r="N123" s="199"/>
      <c r="O123" s="199"/>
      <c r="P123" s="199"/>
      <c r="Q123" s="199"/>
      <c r="R123" s="199"/>
      <c r="S123" s="199"/>
      <c r="T123" s="199"/>
      <c r="U123" s="199"/>
      <c r="V123" s="199"/>
      <c r="W123" s="199"/>
      <c r="X123" s="199"/>
      <c r="Y123" s="199"/>
    </row>
    <row r="124" spans="3:27" x14ac:dyDescent="0.25">
      <c r="E124" t="s">
        <v>881</v>
      </c>
      <c r="G124" s="13" t="s">
        <v>167</v>
      </c>
      <c r="H124" s="332">
        <f>(H121 - H115) / H115</f>
        <v>-1.1848499896346082E-4</v>
      </c>
      <c r="J124" s="199"/>
      <c r="K124" s="199"/>
      <c r="L124" s="199"/>
      <c r="M124" s="199"/>
      <c r="N124" s="199"/>
      <c r="O124" s="199"/>
      <c r="P124" s="199"/>
      <c r="Q124" s="199"/>
      <c r="R124" s="199"/>
      <c r="S124" s="199"/>
      <c r="T124" s="199"/>
      <c r="U124" s="199"/>
      <c r="V124" s="199"/>
      <c r="W124" s="199"/>
      <c r="X124" s="199"/>
      <c r="Y124" s="199"/>
    </row>
    <row r="125" spans="3:27" x14ac:dyDescent="0.25">
      <c r="C125" s="88"/>
      <c r="D125" s="2"/>
      <c r="E125" s="2"/>
      <c r="G125" s="13"/>
      <c r="J125" s="89"/>
      <c r="K125" s="89"/>
      <c r="L125" s="89"/>
      <c r="M125" s="89"/>
      <c r="N125" s="89"/>
      <c r="O125" s="89"/>
      <c r="P125" s="89"/>
      <c r="Q125" s="89"/>
      <c r="R125" s="89"/>
      <c r="S125" s="89"/>
      <c r="T125" s="89"/>
      <c r="U125" s="89"/>
      <c r="V125" s="89"/>
      <c r="W125" s="89"/>
      <c r="X125" s="89"/>
      <c r="Y125" s="89"/>
    </row>
    <row r="126" spans="3:27" x14ac:dyDescent="0.25">
      <c r="C126" s="31" t="str">
        <f ca="1">INDEX('Version control'!$H$34:$H$57,MATCH($A$1,'Version control'!$F$34:$F$57,0),1)&amp;"-F: Typical bills"</f>
        <v>Section 118-F: Typical bills</v>
      </c>
      <c r="D126" s="31"/>
      <c r="E126" s="31"/>
      <c r="F126" s="31"/>
      <c r="G126" s="31"/>
      <c r="H126" s="31"/>
      <c r="I126" s="31"/>
      <c r="J126" s="90"/>
      <c r="K126" s="90"/>
      <c r="L126" s="90"/>
      <c r="M126" s="90"/>
      <c r="N126" s="90"/>
      <c r="O126" s="90"/>
      <c r="P126" s="90"/>
      <c r="Q126" s="90"/>
      <c r="R126" s="90"/>
      <c r="S126" s="90"/>
      <c r="T126" s="90"/>
      <c r="U126" s="90"/>
      <c r="V126" s="90"/>
      <c r="W126" s="90"/>
      <c r="X126" s="90"/>
      <c r="Y126" s="90"/>
      <c r="Z126" s="31"/>
      <c r="AA126" s="31"/>
    </row>
    <row r="127" spans="3:27" x14ac:dyDescent="0.25">
      <c r="F127" s="3"/>
      <c r="G127" s="216"/>
      <c r="H127" s="3"/>
      <c r="I127" s="3"/>
      <c r="J127" s="89"/>
      <c r="K127" s="89"/>
      <c r="L127" s="89"/>
      <c r="M127" s="89"/>
      <c r="N127" s="89"/>
      <c r="O127" s="89"/>
      <c r="P127" s="89"/>
      <c r="Q127" s="89"/>
      <c r="R127" s="89"/>
      <c r="S127" s="89"/>
      <c r="T127" s="89"/>
      <c r="U127" s="89"/>
      <c r="V127" s="89"/>
      <c r="W127" s="89"/>
      <c r="X127" s="89"/>
      <c r="Y127" s="89"/>
    </row>
    <row r="128" spans="3:27" x14ac:dyDescent="0.25">
      <c r="E128" t="s">
        <v>882</v>
      </c>
      <c r="G128" s="13" t="s">
        <v>883</v>
      </c>
      <c r="H128" t="s">
        <v>884</v>
      </c>
      <c r="J128" s="199">
        <f t="shared" ref="J128:K128" si="172" xml:space="preserve"> IF( J19 &lt;&gt; 0, J91 / J19, "")</f>
        <v>154.76760333014252</v>
      </c>
      <c r="K128" s="199">
        <f t="shared" si="172"/>
        <v>140.14377371995616</v>
      </c>
      <c r="L128" s="199">
        <f t="shared" ref="L128:M128" si="173" xml:space="preserve"> IF( L19 &lt;&gt; 0, L91 / L19, "")</f>
        <v>518.08505454596127</v>
      </c>
      <c r="M128" s="199">
        <f t="shared" si="173"/>
        <v>408.59745184365039</v>
      </c>
      <c r="N128" s="199">
        <f t="shared" ref="N128:P128" si="174" xml:space="preserve"> IF( N19 &lt;&gt; 0, N91 / N19, "")</f>
        <v>8986.3924809786931</v>
      </c>
      <c r="O128" s="199">
        <f t="shared" si="174"/>
        <v>33115.098674269291</v>
      </c>
      <c r="P128" s="199">
        <f t="shared" si="174"/>
        <v>46563.264426844245</v>
      </c>
      <c r="Q128" s="199">
        <f t="shared" ref="Q128:S128" si="175" xml:space="preserve"> IF( Q19 &lt;&gt; 0, Q91 / Q19, "")</f>
        <v>2389.8054151011029</v>
      </c>
      <c r="R128" s="199">
        <f t="shared" si="175"/>
        <v>-263.80687783817552</v>
      </c>
      <c r="S128" s="199">
        <f t="shared" si="175"/>
        <v>-49.835370000000012</v>
      </c>
      <c r="T128" s="199">
        <f t="shared" ref="T128:U128" si="176" xml:space="preserve"> IF( T19 &lt;&gt; 0, T91 / T19, "")</f>
        <v>-6782.0775527964452</v>
      </c>
      <c r="U128" s="199" t="str">
        <f t="shared" si="176"/>
        <v/>
      </c>
      <c r="V128" s="199">
        <f t="shared" ref="V128:W128" si="177" xml:space="preserve"> IF( V19 &lt;&gt; 0, V91 / V19, "")</f>
        <v>-22098.882679499991</v>
      </c>
      <c r="W128" s="199" t="str">
        <f t="shared" si="177"/>
        <v/>
      </c>
      <c r="X128" s="199">
        <f t="shared" ref="X128:Y128" si="178" xml:space="preserve"> IF( X19 &lt;&gt; 0, X91 / X19, "")</f>
        <v>-28797.791292864134</v>
      </c>
      <c r="Y128" s="199" t="str">
        <f t="shared" si="178"/>
        <v/>
      </c>
    </row>
    <row r="129" spans="2:27" x14ac:dyDescent="0.25">
      <c r="E129" t="s">
        <v>885</v>
      </c>
      <c r="G129" s="13" t="s">
        <v>883</v>
      </c>
      <c r="H129" t="s">
        <v>448</v>
      </c>
      <c r="J129" s="98">
        <f t="shared" ref="J129:K129" si="179" xml:space="preserve"> IF( J28 &lt;&gt; 0, J101 / J28, "")</f>
        <v>88.148209303063069</v>
      </c>
      <c r="K129" s="98" t="str">
        <f t="shared" si="179"/>
        <v/>
      </c>
      <c r="L129" s="98">
        <f t="shared" ref="L129:M129" si="180" xml:space="preserve"> IF( L28 &lt;&gt; 0, L101 / L28, "")</f>
        <v>220.85291853414989</v>
      </c>
      <c r="M129" s="98" t="str">
        <f t="shared" si="180"/>
        <v/>
      </c>
      <c r="N129" s="98">
        <f t="shared" ref="N129:P129" si="181" xml:space="preserve"> IF( N28 &lt;&gt; 0, N101 / N28, "")</f>
        <v>5990.3452411635062</v>
      </c>
      <c r="O129" s="98" t="str">
        <f t="shared" si="181"/>
        <v/>
      </c>
      <c r="P129" s="98" t="str">
        <f t="shared" si="181"/>
        <v/>
      </c>
      <c r="Q129" s="98">
        <f t="shared" ref="Q129:S129" si="182" xml:space="preserve"> IF( Q28 &lt;&gt; 0, Q101 / Q28, "")</f>
        <v>5265.8775996825925</v>
      </c>
      <c r="R129" s="98" t="str">
        <f t="shared" si="182"/>
        <v/>
      </c>
      <c r="S129" s="98" t="str">
        <f t="shared" si="182"/>
        <v/>
      </c>
      <c r="T129" s="98" t="str">
        <f t="shared" ref="T129:U129" si="183" xml:space="preserve"> IF( T28 &lt;&gt; 0, T101 / T28, "")</f>
        <v/>
      </c>
      <c r="U129" s="98" t="str">
        <f t="shared" si="183"/>
        <v/>
      </c>
      <c r="V129" s="98" t="str">
        <f t="shared" ref="V129:W129" si="184" xml:space="preserve"> IF( V28 &lt;&gt; 0, V101 / V28, "")</f>
        <v/>
      </c>
      <c r="W129" s="98" t="str">
        <f t="shared" si="184"/>
        <v/>
      </c>
      <c r="X129" s="98" t="str">
        <f t="shared" ref="X129:Y129" si="185" xml:space="preserve"> IF( X28 &lt;&gt; 0, X101 / X28, "")</f>
        <v/>
      </c>
      <c r="Y129" s="98" t="str">
        <f t="shared" si="185"/>
        <v/>
      </c>
    </row>
    <row r="130" spans="2:27" x14ac:dyDescent="0.25">
      <c r="E130" t="s">
        <v>886</v>
      </c>
      <c r="G130" s="13" t="s">
        <v>883</v>
      </c>
      <c r="H130" t="s">
        <v>449</v>
      </c>
      <c r="J130" s="98">
        <f t="shared" ref="J130:K130" si="186" xml:space="preserve"> IF( J37 &lt;&gt; 0, J111 / J37, "")</f>
        <v>57.389243411492437</v>
      </c>
      <c r="K130" s="98" t="str">
        <f t="shared" si="186"/>
        <v/>
      </c>
      <c r="L130" s="98">
        <f t="shared" ref="L130:M130" si="187" xml:space="preserve"> IF( L37 &lt;&gt; 0, L111 / L37, "")</f>
        <v>193.11538191531443</v>
      </c>
      <c r="M130" s="98" t="str">
        <f t="shared" si="187"/>
        <v/>
      </c>
      <c r="N130" s="98">
        <f t="shared" ref="N130:P130" si="188" xml:space="preserve"> IF( N37 &lt;&gt; 0, N111 / N37, "")</f>
        <v>15989.838569797766</v>
      </c>
      <c r="O130" s="98">
        <f t="shared" si="188"/>
        <v>16068.406626350081</v>
      </c>
      <c r="P130" s="98">
        <f t="shared" si="188"/>
        <v>518055.10906087025</v>
      </c>
      <c r="Q130" s="98">
        <f t="shared" ref="Q130:S130" si="189" xml:space="preserve"> IF( Q37 &lt;&gt; 0, Q111 / Q37, "")</f>
        <v>8.9821192237880538</v>
      </c>
      <c r="R130" s="98" t="str">
        <f t="shared" si="189"/>
        <v/>
      </c>
      <c r="S130" s="98" t="str">
        <f t="shared" si="189"/>
        <v/>
      </c>
      <c r="T130" s="98" t="str">
        <f t="shared" ref="T130:U130" si="190" xml:space="preserve"> IF( T37 &lt;&gt; 0, T111 / T37, "")</f>
        <v/>
      </c>
      <c r="U130" s="98" t="str">
        <f t="shared" si="190"/>
        <v/>
      </c>
      <c r="V130" s="98" t="str">
        <f t="shared" ref="V130:W130" si="191" xml:space="preserve"> IF( V37 &lt;&gt; 0, V111 / V37, "")</f>
        <v/>
      </c>
      <c r="W130" s="98" t="str">
        <f t="shared" si="191"/>
        <v/>
      </c>
      <c r="X130" s="98" t="str">
        <f t="shared" ref="X130:Y130" si="192" xml:space="preserve"> IF( X37 &lt;&gt; 0, X111 / X37, "")</f>
        <v/>
      </c>
      <c r="Y130" s="98" t="str">
        <f t="shared" si="192"/>
        <v/>
      </c>
    </row>
    <row r="131" spans="2:27" x14ac:dyDescent="0.25">
      <c r="D131" s="2"/>
      <c r="E131" s="2"/>
      <c r="G131" s="13"/>
      <c r="J131" s="89"/>
      <c r="K131" s="89"/>
      <c r="L131" s="89"/>
      <c r="M131" s="89"/>
      <c r="N131" s="89"/>
      <c r="O131" s="89"/>
      <c r="P131" s="89"/>
      <c r="Q131" s="89"/>
      <c r="R131" s="89"/>
      <c r="S131" s="89"/>
      <c r="T131" s="89"/>
      <c r="U131" s="89"/>
      <c r="V131" s="89"/>
      <c r="W131" s="89"/>
      <c r="X131" s="89"/>
      <c r="Y131" s="89"/>
    </row>
    <row r="132" spans="2:27" x14ac:dyDescent="0.25">
      <c r="C132" s="31" t="str">
        <f ca="1">INDEX('Version control'!$H$34:$H$57,MATCH($A$1,'Version control'!$F$34:$F$57,0),1)&amp;"-G: Average bill per kWh"</f>
        <v>Section 118-G: Average bill per kWh</v>
      </c>
      <c r="D132" s="31"/>
      <c r="E132" s="31"/>
      <c r="F132" s="31"/>
      <c r="G132" s="31"/>
      <c r="H132" s="31"/>
      <c r="I132" s="31"/>
      <c r="J132" s="90"/>
      <c r="K132" s="90"/>
      <c r="L132" s="90"/>
      <c r="M132" s="90"/>
      <c r="N132" s="90"/>
      <c r="O132" s="90"/>
      <c r="P132" s="90"/>
      <c r="Q132" s="90"/>
      <c r="R132" s="90"/>
      <c r="S132" s="90"/>
      <c r="T132" s="90"/>
      <c r="U132" s="90"/>
      <c r="V132" s="90"/>
      <c r="W132" s="90"/>
      <c r="X132" s="90"/>
      <c r="Y132" s="90"/>
      <c r="Z132" s="31"/>
      <c r="AA132" s="31"/>
    </row>
    <row r="133" spans="2:27" x14ac:dyDescent="0.25">
      <c r="F133" s="3"/>
      <c r="G133" s="216"/>
      <c r="H133" s="3"/>
      <c r="I133" s="3"/>
      <c r="J133" s="89"/>
      <c r="K133" s="89"/>
      <c r="L133" s="89"/>
      <c r="M133" s="89"/>
      <c r="N133" s="89"/>
      <c r="O133" s="89"/>
      <c r="P133" s="89"/>
      <c r="Q133" s="89"/>
      <c r="R133" s="89"/>
      <c r="S133" s="89"/>
      <c r="T133" s="89"/>
      <c r="U133" s="89"/>
      <c r="V133" s="89"/>
      <c r="W133" s="89"/>
      <c r="X133" s="89"/>
      <c r="Y133" s="89"/>
    </row>
    <row r="134" spans="2:27" x14ac:dyDescent="0.25">
      <c r="E134" t="s">
        <v>887</v>
      </c>
      <c r="G134" s="13" t="s">
        <v>269</v>
      </c>
      <c r="H134" s="272" t="s">
        <v>884</v>
      </c>
      <c r="I134" s="272"/>
      <c r="J134" s="283">
        <f t="shared" ref="J134:Y134" si="193" xml:space="preserve"> IF( SUM(J$16:J$18) &lt;&gt; 0, J$91 / SUM(J$16:J$18) * hundred / thousand, "")</f>
        <v>4.2256566313076638</v>
      </c>
      <c r="K134" s="283">
        <f t="shared" si="193"/>
        <v>2.5772885323363957</v>
      </c>
      <c r="L134" s="283">
        <f t="shared" si="193"/>
        <v>3.7610007505526966</v>
      </c>
      <c r="M134" s="283">
        <f t="shared" si="193"/>
        <v>3.2694647232294489</v>
      </c>
      <c r="N134" s="283">
        <f t="shared" si="193"/>
        <v>4.1947341476849536</v>
      </c>
      <c r="O134" s="283">
        <f t="shared" si="193"/>
        <v>2.9904531766752971</v>
      </c>
      <c r="P134" s="283">
        <f t="shared" si="193"/>
        <v>4.0392391267406476</v>
      </c>
      <c r="Q134" s="283">
        <f t="shared" si="193"/>
        <v>5.3316325394273774</v>
      </c>
      <c r="R134" s="283">
        <f t="shared" si="193"/>
        <v>-1.5711987218482228</v>
      </c>
      <c r="S134" s="283">
        <f t="shared" si="193"/>
        <v>-1.4259047210300428</v>
      </c>
      <c r="T134" s="283">
        <f t="shared" si="193"/>
        <v>-1.2898134490280595</v>
      </c>
      <c r="U134" s="283" t="str">
        <f t="shared" si="193"/>
        <v/>
      </c>
      <c r="V134" s="283">
        <f t="shared" si="193"/>
        <v>-1.2876903473434813</v>
      </c>
      <c r="W134" s="283" t="str">
        <f t="shared" si="193"/>
        <v/>
      </c>
      <c r="X134" s="283">
        <f t="shared" si="193"/>
        <v>-0.60558230000161595</v>
      </c>
      <c r="Y134" s="283" t="str">
        <f t="shared" si="193"/>
        <v/>
      </c>
      <c r="Z134" s="272"/>
      <c r="AA134" s="272"/>
    </row>
    <row r="135" spans="2:27" x14ac:dyDescent="0.25">
      <c r="E135" t="s">
        <v>888</v>
      </c>
      <c r="G135" s="13" t="s">
        <v>269</v>
      </c>
      <c r="H135" s="272" t="s">
        <v>448</v>
      </c>
      <c r="I135" s="272"/>
      <c r="J135" s="290">
        <f t="shared" ref="J135:Y135" si="194" xml:space="preserve"> IF( SUM(J$25:J$27) &lt;&gt; 0, J$101 / SUM(J$25:J$27) * hundred / thousand, "")</f>
        <v>3.2322974572719732</v>
      </c>
      <c r="K135" s="290" t="str">
        <f t="shared" si="194"/>
        <v/>
      </c>
      <c r="L135" s="290">
        <f t="shared" si="194"/>
        <v>2.8401070590551147</v>
      </c>
      <c r="M135" s="290" t="str">
        <f t="shared" si="194"/>
        <v/>
      </c>
      <c r="N135" s="290">
        <f t="shared" si="194"/>
        <v>4.8461831698772126</v>
      </c>
      <c r="O135" s="290" t="str">
        <f t="shared" si="194"/>
        <v/>
      </c>
      <c r="P135" s="290" t="str">
        <f t="shared" si="194"/>
        <v/>
      </c>
      <c r="Q135" s="290">
        <f t="shared" si="194"/>
        <v>4.9620886926203296</v>
      </c>
      <c r="R135" s="290" t="str">
        <f t="shared" si="194"/>
        <v/>
      </c>
      <c r="S135" s="290" t="str">
        <f t="shared" si="194"/>
        <v/>
      </c>
      <c r="T135" s="290" t="str">
        <f t="shared" si="194"/>
        <v/>
      </c>
      <c r="U135" s="290" t="str">
        <f t="shared" si="194"/>
        <v/>
      </c>
      <c r="V135" s="290" t="str">
        <f t="shared" si="194"/>
        <v/>
      </c>
      <c r="W135" s="290" t="str">
        <f t="shared" si="194"/>
        <v/>
      </c>
      <c r="X135" s="290" t="str">
        <f t="shared" si="194"/>
        <v/>
      </c>
      <c r="Y135" s="290" t="str">
        <f t="shared" si="194"/>
        <v/>
      </c>
      <c r="Z135" s="272"/>
      <c r="AA135" s="272"/>
    </row>
    <row r="136" spans="2:27" x14ac:dyDescent="0.25">
      <c r="E136" t="s">
        <v>889</v>
      </c>
      <c r="G136" s="13" t="s">
        <v>269</v>
      </c>
      <c r="H136" s="272" t="s">
        <v>449</v>
      </c>
      <c r="I136" s="272"/>
      <c r="J136" s="290">
        <f t="shared" ref="J136:Y136" si="195" xml:space="preserve"> IF( SUM(J$34:J$36) &lt;&gt; 0, J$111 / SUM(J$34:J$36) * hundred / thousand, "")</f>
        <v>2.0978486571062631</v>
      </c>
      <c r="K136" s="290" t="str">
        <f t="shared" si="195"/>
        <v/>
      </c>
      <c r="L136" s="290">
        <f t="shared" si="195"/>
        <v>1.7889668286220897</v>
      </c>
      <c r="M136" s="290" t="str">
        <f t="shared" si="195"/>
        <v/>
      </c>
      <c r="N136" s="290">
        <f t="shared" si="195"/>
        <v>1.9124483170444055</v>
      </c>
      <c r="O136" s="290">
        <f t="shared" si="195"/>
        <v>4.6876540637312738</v>
      </c>
      <c r="P136" s="290">
        <f t="shared" si="195"/>
        <v>806.06487793789631</v>
      </c>
      <c r="Q136" s="290">
        <f t="shared" si="195"/>
        <v>2.164144827586207</v>
      </c>
      <c r="R136" s="290" t="str">
        <f t="shared" si="195"/>
        <v/>
      </c>
      <c r="S136" s="290" t="str">
        <f t="shared" si="195"/>
        <v/>
      </c>
      <c r="T136" s="290" t="str">
        <f t="shared" si="195"/>
        <v/>
      </c>
      <c r="U136" s="290" t="str">
        <f t="shared" si="195"/>
        <v/>
      </c>
      <c r="V136" s="290" t="str">
        <f t="shared" si="195"/>
        <v/>
      </c>
      <c r="W136" s="290" t="str">
        <f t="shared" si="195"/>
        <v/>
      </c>
      <c r="X136" s="290" t="str">
        <f t="shared" si="195"/>
        <v/>
      </c>
      <c r="Y136" s="290" t="str">
        <f t="shared" si="195"/>
        <v/>
      </c>
      <c r="Z136" s="272"/>
      <c r="AA136" s="272"/>
    </row>
    <row r="137" spans="2:27" x14ac:dyDescent="0.25">
      <c r="C137" s="88"/>
      <c r="D137" s="2"/>
      <c r="E137" s="2"/>
      <c r="G137" s="13"/>
      <c r="J137" s="89"/>
      <c r="K137" s="89"/>
      <c r="L137" s="89"/>
      <c r="M137" s="89"/>
      <c r="N137" s="89"/>
      <c r="O137" s="89"/>
      <c r="P137" s="89"/>
      <c r="Q137" s="89"/>
      <c r="R137" s="89"/>
      <c r="S137" s="89"/>
      <c r="T137" s="89"/>
      <c r="U137" s="89"/>
      <c r="V137" s="89"/>
      <c r="W137" s="89"/>
      <c r="X137" s="89"/>
      <c r="Y137" s="89"/>
    </row>
    <row r="138" spans="2:27" x14ac:dyDescent="0.25">
      <c r="B138" s="30" t="s">
        <v>890</v>
      </c>
      <c r="C138" s="30"/>
      <c r="D138" s="30"/>
      <c r="E138" s="30"/>
      <c r="F138" s="30"/>
      <c r="G138" s="92"/>
      <c r="H138" s="30"/>
      <c r="I138" s="30"/>
      <c r="J138" s="184"/>
      <c r="K138" s="184"/>
      <c r="L138" s="184"/>
      <c r="M138" s="184"/>
      <c r="N138" s="184"/>
      <c r="O138" s="184"/>
      <c r="P138" s="184"/>
      <c r="Q138" s="184"/>
      <c r="R138" s="184"/>
      <c r="S138" s="184"/>
      <c r="T138" s="184"/>
      <c r="U138" s="184"/>
      <c r="V138" s="184"/>
      <c r="W138" s="184"/>
      <c r="X138" s="184"/>
      <c r="Y138" s="184"/>
      <c r="Z138" s="30"/>
      <c r="AA138" s="30"/>
    </row>
    <row r="139" spans="2:27" x14ac:dyDescent="0.25">
      <c r="F139" s="3"/>
      <c r="G139" s="216"/>
      <c r="H139" s="3"/>
      <c r="I139" s="3"/>
      <c r="J139" s="89"/>
      <c r="K139" s="89"/>
      <c r="L139" s="89"/>
      <c r="M139" s="89"/>
      <c r="N139" s="89"/>
      <c r="O139" s="89"/>
      <c r="P139" s="89"/>
      <c r="Q139" s="89"/>
      <c r="R139" s="89"/>
      <c r="S139" s="89"/>
      <c r="T139" s="89"/>
      <c r="U139" s="89"/>
      <c r="V139" s="89"/>
      <c r="W139" s="89"/>
      <c r="X139" s="89"/>
      <c r="Y139" s="89"/>
    </row>
    <row r="140" spans="2:27" x14ac:dyDescent="0.25">
      <c r="C140" s="31" t="str">
        <f ca="1">INDEX('Version control'!$H$34:$H$57,MATCH($A$1,'Version control'!$F$34:$F$57,0),1)&amp;"-H: Previous year all the way tariff forecast"</f>
        <v>Section 118-H: Previous year all the way tariff forecast</v>
      </c>
      <c r="D140" s="31"/>
      <c r="E140" s="31"/>
      <c r="F140" s="31"/>
      <c r="G140" s="31"/>
      <c r="H140" s="31"/>
      <c r="I140" s="31"/>
      <c r="J140" s="90"/>
      <c r="K140" s="90"/>
      <c r="L140" s="90"/>
      <c r="M140" s="90"/>
      <c r="N140" s="90"/>
      <c r="O140" s="90"/>
      <c r="P140" s="90"/>
      <c r="Q140" s="90"/>
      <c r="R140" s="90"/>
      <c r="S140" s="90"/>
      <c r="T140" s="90"/>
      <c r="U140" s="90"/>
      <c r="V140" s="90"/>
      <c r="W140" s="90"/>
      <c r="X140" s="90"/>
      <c r="Y140" s="90"/>
      <c r="Z140" s="31"/>
      <c r="AA140" s="31"/>
    </row>
    <row r="141" spans="2:27" x14ac:dyDescent="0.25">
      <c r="D141" s="32"/>
      <c r="J141" s="89"/>
      <c r="K141" s="89"/>
      <c r="L141" s="89"/>
      <c r="M141" s="89"/>
      <c r="N141" s="89"/>
      <c r="O141" s="89"/>
      <c r="P141" s="89"/>
      <c r="Q141" s="89"/>
      <c r="R141" s="89"/>
      <c r="S141" s="89"/>
      <c r="T141" s="89"/>
      <c r="U141" s="89"/>
      <c r="V141" s="89"/>
      <c r="W141" s="89"/>
      <c r="X141" s="89"/>
      <c r="Y141" s="89"/>
    </row>
    <row r="142" spans="2:27" x14ac:dyDescent="0.25">
      <c r="E142" s="32" t="s">
        <v>891</v>
      </c>
      <c r="J142" s="89"/>
      <c r="K142" s="89"/>
      <c r="L142" s="89"/>
      <c r="M142" s="89"/>
      <c r="N142" s="89"/>
      <c r="O142" s="89"/>
      <c r="P142" s="89"/>
      <c r="Q142" s="89"/>
      <c r="R142" s="89"/>
      <c r="S142" s="89"/>
      <c r="T142" s="89"/>
      <c r="U142" s="89"/>
      <c r="V142" s="89"/>
      <c r="W142" s="89"/>
      <c r="X142" s="89"/>
      <c r="Y142" s="89"/>
    </row>
    <row r="143" spans="2:27" x14ac:dyDescent="0.25">
      <c r="F143" s="23" t="s">
        <v>156</v>
      </c>
      <c r="G143" s="23" t="s">
        <v>269</v>
      </c>
      <c r="H143" s="270"/>
      <c r="I143" s="270"/>
      <c r="J143" s="286">
        <f>'Inputs by customer type'!J64</f>
        <v>0</v>
      </c>
      <c r="K143" s="286">
        <f>'Inputs by customer type'!K64</f>
        <v>0</v>
      </c>
      <c r="L143" s="286">
        <f>'Inputs by customer type'!L64</f>
        <v>0</v>
      </c>
      <c r="M143" s="286">
        <f>'Inputs by customer type'!M64</f>
        <v>0</v>
      </c>
      <c r="N143" s="286">
        <f>'Inputs by customer type'!N64</f>
        <v>0</v>
      </c>
      <c r="O143" s="286">
        <f>'Inputs by customer type'!O64</f>
        <v>0</v>
      </c>
      <c r="P143" s="286">
        <f>'Inputs by customer type'!P64</f>
        <v>0</v>
      </c>
      <c r="Q143" s="286">
        <f>'Inputs by customer type'!Q64</f>
        <v>0</v>
      </c>
      <c r="R143" s="286">
        <f>'Inputs by customer type'!R64</f>
        <v>0</v>
      </c>
      <c r="S143" s="286">
        <f>'Inputs by customer type'!S64</f>
        <v>0</v>
      </c>
      <c r="T143" s="286">
        <f>'Inputs by customer type'!T64</f>
        <v>0</v>
      </c>
      <c r="U143" s="286">
        <f>'Inputs by customer type'!U64</f>
        <v>0</v>
      </c>
      <c r="V143" s="286">
        <f>'Inputs by customer type'!V64</f>
        <v>0</v>
      </c>
      <c r="W143" s="286">
        <f>'Inputs by customer type'!W64</f>
        <v>0</v>
      </c>
      <c r="X143" s="286">
        <f>'Inputs by customer type'!X64</f>
        <v>0</v>
      </c>
      <c r="Y143" s="286">
        <f>'Inputs by customer type'!Y64</f>
        <v>0</v>
      </c>
      <c r="Z143" s="272"/>
      <c r="AA143" s="272"/>
    </row>
    <row r="144" spans="2:27" x14ac:dyDescent="0.25">
      <c r="E144" s="28"/>
      <c r="F144" t="s">
        <v>157</v>
      </c>
      <c r="G144" t="s">
        <v>269</v>
      </c>
      <c r="H144" s="272"/>
      <c r="I144" s="272"/>
      <c r="J144" s="287">
        <f>'Inputs by customer type'!J65</f>
        <v>0</v>
      </c>
      <c r="K144" s="287">
        <f>'Inputs by customer type'!K65</f>
        <v>0</v>
      </c>
      <c r="L144" s="287">
        <f>'Inputs by customer type'!L65</f>
        <v>0</v>
      </c>
      <c r="M144" s="287">
        <f>'Inputs by customer type'!M65</f>
        <v>0</v>
      </c>
      <c r="N144" s="287">
        <f>'Inputs by customer type'!N65</f>
        <v>0</v>
      </c>
      <c r="O144" s="287">
        <f>'Inputs by customer type'!O65</f>
        <v>0</v>
      </c>
      <c r="P144" s="287">
        <f>'Inputs by customer type'!P65</f>
        <v>0</v>
      </c>
      <c r="Q144" s="287">
        <f>'Inputs by customer type'!Q65</f>
        <v>0</v>
      </c>
      <c r="R144" s="287">
        <f>'Inputs by customer type'!R65</f>
        <v>0</v>
      </c>
      <c r="S144" s="287">
        <f>'Inputs by customer type'!S65</f>
        <v>0</v>
      </c>
      <c r="T144" s="287">
        <f>'Inputs by customer type'!T65</f>
        <v>0</v>
      </c>
      <c r="U144" s="287">
        <f>'Inputs by customer type'!U65</f>
        <v>0</v>
      </c>
      <c r="V144" s="287">
        <f>'Inputs by customer type'!V65</f>
        <v>0</v>
      </c>
      <c r="W144" s="287">
        <f>'Inputs by customer type'!W65</f>
        <v>0</v>
      </c>
      <c r="X144" s="287">
        <f>'Inputs by customer type'!X65</f>
        <v>0</v>
      </c>
      <c r="Y144" s="287">
        <f>'Inputs by customer type'!Y65</f>
        <v>0</v>
      </c>
      <c r="Z144" s="272"/>
      <c r="AA144" s="272"/>
    </row>
    <row r="145" spans="3:27" x14ac:dyDescent="0.25">
      <c r="E145" s="28"/>
      <c r="F145" t="s">
        <v>158</v>
      </c>
      <c r="G145" t="s">
        <v>269</v>
      </c>
      <c r="H145" s="272"/>
      <c r="I145" s="272"/>
      <c r="J145" s="287">
        <f>'Inputs by customer type'!J66</f>
        <v>0</v>
      </c>
      <c r="K145" s="287">
        <f>'Inputs by customer type'!K66</f>
        <v>0</v>
      </c>
      <c r="L145" s="287">
        <f>'Inputs by customer type'!L66</f>
        <v>0</v>
      </c>
      <c r="M145" s="287">
        <f>'Inputs by customer type'!M66</f>
        <v>0</v>
      </c>
      <c r="N145" s="287">
        <f>'Inputs by customer type'!N66</f>
        <v>0</v>
      </c>
      <c r="O145" s="287">
        <f>'Inputs by customer type'!O66</f>
        <v>0</v>
      </c>
      <c r="P145" s="287">
        <f>'Inputs by customer type'!P66</f>
        <v>0</v>
      </c>
      <c r="Q145" s="287">
        <f>'Inputs by customer type'!Q66</f>
        <v>0</v>
      </c>
      <c r="R145" s="287">
        <f>'Inputs by customer type'!R66</f>
        <v>0</v>
      </c>
      <c r="S145" s="287">
        <f>'Inputs by customer type'!S66</f>
        <v>0</v>
      </c>
      <c r="T145" s="287">
        <f>'Inputs by customer type'!T66</f>
        <v>0</v>
      </c>
      <c r="U145" s="287">
        <f>'Inputs by customer type'!U66</f>
        <v>0</v>
      </c>
      <c r="V145" s="287">
        <f>'Inputs by customer type'!V66</f>
        <v>0</v>
      </c>
      <c r="W145" s="287">
        <f>'Inputs by customer type'!W66</f>
        <v>0</v>
      </c>
      <c r="X145" s="287">
        <f>'Inputs by customer type'!X66</f>
        <v>0</v>
      </c>
      <c r="Y145" s="287">
        <f>'Inputs by customer type'!Y66</f>
        <v>0</v>
      </c>
      <c r="Z145" s="272"/>
      <c r="AA145" s="272"/>
    </row>
    <row r="146" spans="3:27" x14ac:dyDescent="0.25">
      <c r="E146" s="28"/>
      <c r="F146" t="s">
        <v>159</v>
      </c>
      <c r="G146" t="s">
        <v>270</v>
      </c>
      <c r="J146" s="120">
        <f>'Inputs by customer type'!J67</f>
        <v>0</v>
      </c>
      <c r="K146" s="120">
        <f>'Inputs by customer type'!K67</f>
        <v>0</v>
      </c>
      <c r="L146" s="120">
        <f>'Inputs by customer type'!L67</f>
        <v>0</v>
      </c>
      <c r="M146" s="120">
        <f>'Inputs by customer type'!M67</f>
        <v>0</v>
      </c>
      <c r="N146" s="120">
        <f>'Inputs by customer type'!N67</f>
        <v>0</v>
      </c>
      <c r="O146" s="120">
        <f>'Inputs by customer type'!O67</f>
        <v>0</v>
      </c>
      <c r="P146" s="120">
        <f>'Inputs by customer type'!P67</f>
        <v>0</v>
      </c>
      <c r="Q146" s="120">
        <f>'Inputs by customer type'!Q67</f>
        <v>0</v>
      </c>
      <c r="R146" s="120">
        <f>'Inputs by customer type'!R67</f>
        <v>0</v>
      </c>
      <c r="S146" s="120">
        <f>'Inputs by customer type'!S67</f>
        <v>0</v>
      </c>
      <c r="T146" s="120">
        <f>'Inputs by customer type'!T67</f>
        <v>0</v>
      </c>
      <c r="U146" s="120">
        <f>'Inputs by customer type'!U67</f>
        <v>0</v>
      </c>
      <c r="V146" s="120">
        <f>'Inputs by customer type'!V67</f>
        <v>0</v>
      </c>
      <c r="W146" s="120">
        <f>'Inputs by customer type'!W67</f>
        <v>0</v>
      </c>
      <c r="X146" s="120">
        <f>'Inputs by customer type'!X67</f>
        <v>0</v>
      </c>
      <c r="Y146" s="120">
        <f>'Inputs by customer type'!Y67</f>
        <v>0</v>
      </c>
    </row>
    <row r="147" spans="3:27" x14ac:dyDescent="0.25">
      <c r="E147" s="28"/>
      <c r="F147" t="s">
        <v>160</v>
      </c>
      <c r="G147" t="s">
        <v>271</v>
      </c>
      <c r="J147" s="120">
        <f>'Inputs by customer type'!J68</f>
        <v>0</v>
      </c>
      <c r="K147" s="120">
        <f>'Inputs by customer type'!K68</f>
        <v>0</v>
      </c>
      <c r="L147" s="120">
        <f>'Inputs by customer type'!L68</f>
        <v>0</v>
      </c>
      <c r="M147" s="120">
        <f>'Inputs by customer type'!M68</f>
        <v>0</v>
      </c>
      <c r="N147" s="120">
        <f>'Inputs by customer type'!N68</f>
        <v>0</v>
      </c>
      <c r="O147" s="120">
        <f>'Inputs by customer type'!O68</f>
        <v>0</v>
      </c>
      <c r="P147" s="120">
        <f>'Inputs by customer type'!P68</f>
        <v>0</v>
      </c>
      <c r="Q147" s="120">
        <f>'Inputs by customer type'!Q68</f>
        <v>0</v>
      </c>
      <c r="R147" s="120">
        <f>'Inputs by customer type'!R68</f>
        <v>0</v>
      </c>
      <c r="S147" s="120">
        <f>'Inputs by customer type'!S68</f>
        <v>0</v>
      </c>
      <c r="T147" s="120">
        <f>'Inputs by customer type'!T68</f>
        <v>0</v>
      </c>
      <c r="U147" s="120">
        <f>'Inputs by customer type'!U68</f>
        <v>0</v>
      </c>
      <c r="V147" s="120">
        <f>'Inputs by customer type'!V68</f>
        <v>0</v>
      </c>
      <c r="W147" s="120">
        <f>'Inputs by customer type'!W68</f>
        <v>0</v>
      </c>
      <c r="X147" s="120">
        <f>'Inputs by customer type'!X68</f>
        <v>0</v>
      </c>
      <c r="Y147" s="120">
        <f>'Inputs by customer type'!Y68</f>
        <v>0</v>
      </c>
    </row>
    <row r="148" spans="3:27" x14ac:dyDescent="0.25">
      <c r="E148" s="28"/>
      <c r="F148" t="s">
        <v>161</v>
      </c>
      <c r="G148" t="s">
        <v>271</v>
      </c>
      <c r="J148" s="120">
        <f>'Inputs by customer type'!J69</f>
        <v>0</v>
      </c>
      <c r="K148" s="120">
        <f>'Inputs by customer type'!K69</f>
        <v>0</v>
      </c>
      <c r="L148" s="120">
        <f>'Inputs by customer type'!L69</f>
        <v>0</v>
      </c>
      <c r="M148" s="120">
        <f>'Inputs by customer type'!M69</f>
        <v>0</v>
      </c>
      <c r="N148" s="120">
        <f>'Inputs by customer type'!N69</f>
        <v>0</v>
      </c>
      <c r="O148" s="120">
        <f>'Inputs by customer type'!O69</f>
        <v>0</v>
      </c>
      <c r="P148" s="120">
        <f>'Inputs by customer type'!P69</f>
        <v>0</v>
      </c>
      <c r="Q148" s="120">
        <f>'Inputs by customer type'!Q69</f>
        <v>0</v>
      </c>
      <c r="R148" s="120">
        <f>'Inputs by customer type'!R69</f>
        <v>0</v>
      </c>
      <c r="S148" s="120">
        <f>'Inputs by customer type'!S69</f>
        <v>0</v>
      </c>
      <c r="T148" s="120">
        <f>'Inputs by customer type'!T69</f>
        <v>0</v>
      </c>
      <c r="U148" s="120">
        <f>'Inputs by customer type'!U69</f>
        <v>0</v>
      </c>
      <c r="V148" s="120">
        <f>'Inputs by customer type'!V69</f>
        <v>0</v>
      </c>
      <c r="W148" s="120">
        <f>'Inputs by customer type'!W69</f>
        <v>0</v>
      </c>
      <c r="X148" s="120">
        <f>'Inputs by customer type'!X69</f>
        <v>0</v>
      </c>
      <c r="Y148" s="120">
        <f>'Inputs by customer type'!Y69</f>
        <v>0</v>
      </c>
    </row>
    <row r="149" spans="3:27" x14ac:dyDescent="0.25">
      <c r="E149" s="28"/>
      <c r="F149" s="37" t="s">
        <v>162</v>
      </c>
      <c r="G149" s="37" t="s">
        <v>272</v>
      </c>
      <c r="H149" s="276"/>
      <c r="I149" s="276"/>
      <c r="J149" s="291">
        <f>'Inputs by customer type'!J70</f>
        <v>0</v>
      </c>
      <c r="K149" s="291">
        <f>'Inputs by customer type'!K70</f>
        <v>0</v>
      </c>
      <c r="L149" s="291">
        <f>'Inputs by customer type'!L70</f>
        <v>0</v>
      </c>
      <c r="M149" s="291">
        <f>'Inputs by customer type'!M70</f>
        <v>0</v>
      </c>
      <c r="N149" s="291">
        <f>'Inputs by customer type'!N70</f>
        <v>0</v>
      </c>
      <c r="O149" s="291">
        <f>'Inputs by customer type'!O70</f>
        <v>0</v>
      </c>
      <c r="P149" s="291">
        <f>'Inputs by customer type'!P70</f>
        <v>0</v>
      </c>
      <c r="Q149" s="291">
        <f>'Inputs by customer type'!Q70</f>
        <v>0</v>
      </c>
      <c r="R149" s="291">
        <f>'Inputs by customer type'!R70</f>
        <v>0</v>
      </c>
      <c r="S149" s="291">
        <f>'Inputs by customer type'!S70</f>
        <v>0</v>
      </c>
      <c r="T149" s="291">
        <f>'Inputs by customer type'!T70</f>
        <v>0</v>
      </c>
      <c r="U149" s="291">
        <f>'Inputs by customer type'!U70</f>
        <v>0</v>
      </c>
      <c r="V149" s="291">
        <f>'Inputs by customer type'!V70</f>
        <v>0</v>
      </c>
      <c r="W149" s="291">
        <f>'Inputs by customer type'!W70</f>
        <v>0</v>
      </c>
      <c r="X149" s="291">
        <f>'Inputs by customer type'!X70</f>
        <v>0</v>
      </c>
      <c r="Y149" s="291">
        <f>'Inputs by customer type'!Y70</f>
        <v>0</v>
      </c>
      <c r="Z149" s="272"/>
      <c r="AA149" s="272"/>
    </row>
    <row r="150" spans="3:27" x14ac:dyDescent="0.25">
      <c r="D150" s="28"/>
      <c r="E150" s="72"/>
      <c r="F150" s="72"/>
      <c r="G150" s="72"/>
      <c r="J150" s="89"/>
      <c r="K150" s="89"/>
      <c r="L150" s="89"/>
      <c r="M150" s="89"/>
      <c r="N150" s="89"/>
      <c r="O150" s="89"/>
      <c r="P150" s="89"/>
      <c r="Q150" s="89"/>
      <c r="R150" s="89"/>
      <c r="S150" s="89"/>
      <c r="T150" s="89"/>
      <c r="U150" s="89"/>
      <c r="V150" s="89"/>
      <c r="W150" s="89"/>
      <c r="X150" s="89"/>
      <c r="Y150" s="89"/>
    </row>
    <row r="151" spans="3:27" x14ac:dyDescent="0.25">
      <c r="C151" s="31" t="str">
        <f ca="1">INDEX('Version control'!$H$34:$H$57,MATCH($A$1,'Version control'!$F$34:$F$57,0),1)&amp;"-I: Previous year net revenue from all the way tariff forecast"</f>
        <v>Section 118-I: Previous year net revenue from all the way tariff forecast</v>
      </c>
      <c r="D151" s="31"/>
      <c r="E151" s="31"/>
      <c r="F151" s="31"/>
      <c r="G151" s="31"/>
      <c r="H151" s="31"/>
      <c r="I151" s="31"/>
      <c r="J151" s="90"/>
      <c r="K151" s="90"/>
      <c r="L151" s="90"/>
      <c r="M151" s="90"/>
      <c r="N151" s="90"/>
      <c r="O151" s="90"/>
      <c r="P151" s="90"/>
      <c r="Q151" s="90"/>
      <c r="R151" s="90"/>
      <c r="S151" s="90"/>
      <c r="T151" s="90"/>
      <c r="U151" s="90"/>
      <c r="V151" s="90"/>
      <c r="W151" s="90"/>
      <c r="X151" s="90"/>
      <c r="Y151" s="90"/>
      <c r="Z151" s="31"/>
      <c r="AA151" s="31"/>
    </row>
    <row r="152" spans="3:27" x14ac:dyDescent="0.25">
      <c r="D152" s="32"/>
      <c r="J152" s="89"/>
      <c r="K152" s="89"/>
      <c r="L152" s="89"/>
      <c r="M152" s="89"/>
      <c r="N152" s="89"/>
      <c r="O152" s="89"/>
      <c r="P152" s="89"/>
      <c r="Q152" s="89"/>
      <c r="R152" s="89"/>
      <c r="S152" s="89"/>
      <c r="T152" s="89"/>
      <c r="U152" s="89"/>
      <c r="V152" s="89"/>
      <c r="W152" s="89"/>
      <c r="X152" s="89"/>
      <c r="Y152" s="89"/>
    </row>
    <row r="153" spans="3:27" x14ac:dyDescent="0.25">
      <c r="D153" s="29" t="s">
        <v>892</v>
      </c>
      <c r="J153" s="89"/>
      <c r="K153" s="89"/>
      <c r="L153" s="89"/>
      <c r="M153" s="89"/>
      <c r="N153" s="89"/>
      <c r="O153" s="89"/>
      <c r="P153" s="89"/>
      <c r="Q153" s="89"/>
      <c r="R153" s="89"/>
      <c r="S153" s="89"/>
      <c r="T153" s="89"/>
      <c r="U153" s="89"/>
      <c r="V153" s="89"/>
      <c r="W153" s="89"/>
      <c r="X153" s="89"/>
      <c r="Y153" s="89"/>
    </row>
    <row r="154" spans="3:27" x14ac:dyDescent="0.25">
      <c r="D154" s="91" t="s">
        <v>893</v>
      </c>
      <c r="J154" s="89"/>
      <c r="K154" s="89"/>
      <c r="L154" s="89"/>
      <c r="M154" s="89"/>
      <c r="N154" s="89"/>
      <c r="O154" s="89"/>
      <c r="P154" s="89"/>
      <c r="Q154" s="89"/>
      <c r="R154" s="89"/>
      <c r="S154" s="89"/>
      <c r="T154" s="89"/>
      <c r="U154" s="89"/>
      <c r="V154" s="89"/>
      <c r="W154" s="89"/>
      <c r="X154" s="89"/>
      <c r="Y154" s="89"/>
    </row>
    <row r="155" spans="3:27" x14ac:dyDescent="0.25">
      <c r="C155" s="88"/>
      <c r="D155" s="2"/>
      <c r="E155" s="2"/>
      <c r="G155" s="13"/>
      <c r="J155" s="89"/>
      <c r="K155" s="89"/>
      <c r="L155" s="89"/>
      <c r="M155" s="89"/>
      <c r="N155" s="89"/>
      <c r="O155" s="89"/>
      <c r="P155" s="89"/>
      <c r="Q155" s="89"/>
      <c r="R155" s="89"/>
      <c r="S155" s="89"/>
      <c r="T155" s="89"/>
      <c r="U155" s="89"/>
      <c r="V155" s="89"/>
      <c r="W155" s="89"/>
      <c r="X155" s="89"/>
      <c r="Y155" s="89"/>
    </row>
    <row r="156" spans="3:27" x14ac:dyDescent="0.25">
      <c r="E156" s="108" t="s">
        <v>894</v>
      </c>
      <c r="F156" s="108"/>
      <c r="G156" s="108" t="s">
        <v>277</v>
      </c>
      <c r="H156" s="108"/>
      <c r="I156" s="108"/>
      <c r="J156" s="221" t="str">
        <f>IF('Inputs by customer type'!J78 = "", "", 'Inputs by customer type'!J78)</f>
        <v/>
      </c>
      <c r="K156" s="221" t="str">
        <f>IF('Inputs by customer type'!K78 = "", "", 'Inputs by customer type'!K78)</f>
        <v/>
      </c>
      <c r="L156" s="221" t="str">
        <f>IF('Inputs by customer type'!L78 = "", "", 'Inputs by customer type'!L78)</f>
        <v/>
      </c>
      <c r="M156" s="221" t="str">
        <f>IF('Inputs by customer type'!M78 = "", "", 'Inputs by customer type'!M78)</f>
        <v/>
      </c>
      <c r="N156" s="221" t="str">
        <f>IF('Inputs by customer type'!N78 = "", "", 'Inputs by customer type'!N78)</f>
        <v/>
      </c>
      <c r="O156" s="221" t="str">
        <f>IF('Inputs by customer type'!O78 = "", "", 'Inputs by customer type'!O78)</f>
        <v/>
      </c>
      <c r="P156" s="221" t="str">
        <f>IF('Inputs by customer type'!P78 = "", "", 'Inputs by customer type'!P78)</f>
        <v/>
      </c>
      <c r="Q156" s="221" t="str">
        <f>IF('Inputs by customer type'!Q78 = "", "", 'Inputs by customer type'!Q78)</f>
        <v/>
      </c>
      <c r="R156" s="221" t="str">
        <f>IF('Inputs by customer type'!R78 = "", "", 'Inputs by customer type'!R78)</f>
        <v/>
      </c>
      <c r="S156" s="221" t="str">
        <f>IF('Inputs by customer type'!S78 = "", "", 'Inputs by customer type'!S78)</f>
        <v/>
      </c>
      <c r="T156" s="221" t="str">
        <f>IF('Inputs by customer type'!T78 = "", "", 'Inputs by customer type'!T78)</f>
        <v/>
      </c>
      <c r="U156" s="221" t="str">
        <f>IF('Inputs by customer type'!U78 = "", "", 'Inputs by customer type'!U78)</f>
        <v/>
      </c>
      <c r="V156" s="221" t="str">
        <f>IF('Inputs by customer type'!V78 = "", "", 'Inputs by customer type'!V78)</f>
        <v/>
      </c>
      <c r="W156" s="221" t="str">
        <f>IF('Inputs by customer type'!W78 = "", "", 'Inputs by customer type'!W78)</f>
        <v/>
      </c>
      <c r="X156" s="221" t="str">
        <f>IF('Inputs by customer type'!X78 = "", "", 'Inputs by customer type'!X78)</f>
        <v/>
      </c>
      <c r="Y156" s="221" t="str">
        <f>IF('Inputs by customer type'!Y78 = "", "", 'Inputs by customer type'!Y78)</f>
        <v/>
      </c>
    </row>
    <row r="157" spans="3:27" x14ac:dyDescent="0.25">
      <c r="D157" s="28"/>
      <c r="E157" s="72"/>
      <c r="F157" s="72"/>
      <c r="G157" s="72"/>
      <c r="J157" s="89"/>
      <c r="K157" s="89"/>
      <c r="L157" s="89"/>
      <c r="M157" s="89"/>
      <c r="N157" s="89"/>
      <c r="O157" s="89"/>
      <c r="P157" s="89"/>
      <c r="Q157" s="89"/>
      <c r="R157" s="89"/>
      <c r="S157" s="89"/>
      <c r="T157" s="89"/>
      <c r="U157" s="89"/>
      <c r="V157" s="89"/>
      <c r="W157" s="89"/>
      <c r="X157" s="89"/>
      <c r="Y157" s="89"/>
    </row>
    <row r="158" spans="3:27" x14ac:dyDescent="0.25">
      <c r="E158" t="s">
        <v>895</v>
      </c>
      <c r="G158" t="s">
        <v>277</v>
      </c>
      <c r="J158" s="98">
        <f t="shared" ref="J158:K158" si="196">IF(J156 = "", (J146*J19 + J147*J20 + J148*J21) / hundred * days_in_year + (J143*J16 + J144*J17 + J145*J18 + J149*J22) * ten, J156)</f>
        <v>0</v>
      </c>
      <c r="K158" s="98">
        <f t="shared" si="196"/>
        <v>0</v>
      </c>
      <c r="L158" s="98">
        <f t="shared" ref="L158:M158" si="197">IF(L156 = "", (L146*L19 + L147*L20 + L148*L21) / hundred * days_in_year + (L143*L16 + L144*L17 + L145*L18 + L149*L22) * ten, L156)</f>
        <v>0</v>
      </c>
      <c r="M158" s="98">
        <f t="shared" si="197"/>
        <v>0</v>
      </c>
      <c r="N158" s="98">
        <f t="shared" ref="N158:P158" si="198">IF(N156 = "", (N146*N19 + N147*N20 + N148*N21) / hundred * days_in_year + (N143*N16 + N144*N17 + N145*N18 + N149*N22) * ten, N156)</f>
        <v>0</v>
      </c>
      <c r="O158" s="98">
        <f t="shared" si="198"/>
        <v>0</v>
      </c>
      <c r="P158" s="98">
        <f t="shared" si="198"/>
        <v>0</v>
      </c>
      <c r="Q158" s="98">
        <f t="shared" ref="Q158:S158" si="199">IF(Q156 = "", (Q146*Q19 + Q147*Q20 + Q148*Q21) / hundred * days_in_year + (Q143*Q16 + Q144*Q17 + Q145*Q18 + Q149*Q22) * ten, Q156)</f>
        <v>0</v>
      </c>
      <c r="R158" s="98">
        <f t="shared" si="199"/>
        <v>0</v>
      </c>
      <c r="S158" s="98">
        <f t="shared" si="199"/>
        <v>0</v>
      </c>
      <c r="T158" s="98">
        <f t="shared" ref="T158:U158" si="200">IF(T156 = "", (T146*T19 + T147*T20 + T148*T21) / hundred * days_in_year + (T143*T16 + T144*T17 + T145*T18 + T149*T22) * ten, T156)</f>
        <v>0</v>
      </c>
      <c r="U158" s="98">
        <f t="shared" si="200"/>
        <v>0</v>
      </c>
      <c r="V158" s="98">
        <f t="shared" ref="V158:W158" si="201">IF(V156 = "", (V146*V19 + V147*V20 + V148*V21) / hundred * days_in_year + (V143*V16 + V144*V17 + V145*V18 + V149*V22) * ten, V156)</f>
        <v>0</v>
      </c>
      <c r="W158" s="98">
        <f t="shared" si="201"/>
        <v>0</v>
      </c>
      <c r="X158" s="98">
        <f t="shared" ref="X158:Y158" si="202">IF(X156 = "", (X146*X19 + X147*X20 + X148*X21) / hundred * days_in_year + (X143*X16 + X144*X17 + X145*X18 + X149*X22) * ten, X156)</f>
        <v>0</v>
      </c>
      <c r="Y158" s="98">
        <f t="shared" si="202"/>
        <v>0</v>
      </c>
    </row>
    <row r="159" spans="3:27" x14ac:dyDescent="0.25">
      <c r="F159" s="3"/>
      <c r="G159" s="216"/>
      <c r="H159" s="3"/>
      <c r="I159" s="3"/>
    </row>
    <row r="160" spans="3:27" x14ac:dyDescent="0.25">
      <c r="E160" t="s">
        <v>896</v>
      </c>
      <c r="G160" s="13" t="s">
        <v>167</v>
      </c>
      <c r="J160" s="111">
        <f t="shared" ref="J160:K160" si="203">IF( J158 &lt;&gt; 0, (J91 - J158) / J158, 0)</f>
        <v>0</v>
      </c>
      <c r="K160" s="111">
        <f t="shared" si="203"/>
        <v>0</v>
      </c>
      <c r="L160" s="111">
        <f t="shared" ref="L160:M160" si="204">IF( L158 &lt;&gt; 0, (L91 - L158) / L158, 0)</f>
        <v>0</v>
      </c>
      <c r="M160" s="111">
        <f t="shared" si="204"/>
        <v>0</v>
      </c>
      <c r="N160" s="111">
        <f t="shared" ref="N160:P160" si="205">IF( N158 &lt;&gt; 0, (N91 - N158) / N158, 0)</f>
        <v>0</v>
      </c>
      <c r="O160" s="111">
        <f t="shared" si="205"/>
        <v>0</v>
      </c>
      <c r="P160" s="111">
        <f t="shared" si="205"/>
        <v>0</v>
      </c>
      <c r="Q160" s="111">
        <f t="shared" ref="Q160:S160" si="206">IF( Q158 &lt;&gt; 0, (Q91 - Q158) / Q158, 0)</f>
        <v>0</v>
      </c>
      <c r="R160" s="111">
        <f t="shared" si="206"/>
        <v>0</v>
      </c>
      <c r="S160" s="111">
        <f t="shared" si="206"/>
        <v>0</v>
      </c>
      <c r="T160" s="111">
        <f t="shared" ref="T160:U160" si="207">IF( T158 &lt;&gt; 0, (T91 - T158) / T158, 0)</f>
        <v>0</v>
      </c>
      <c r="U160" s="111">
        <f t="shared" si="207"/>
        <v>0</v>
      </c>
      <c r="V160" s="111">
        <f t="shared" ref="V160:W160" si="208">IF( V158 &lt;&gt; 0, (V91 - V158) / V158, 0)</f>
        <v>0</v>
      </c>
      <c r="W160" s="111">
        <f t="shared" si="208"/>
        <v>0</v>
      </c>
      <c r="X160" s="111">
        <f t="shared" ref="X160:Y160" si="209">IF( X158 &lt;&gt; 0, (X91 - X158) / X158, 0)</f>
        <v>0</v>
      </c>
      <c r="Y160" s="111">
        <f t="shared" si="209"/>
        <v>0</v>
      </c>
    </row>
    <row r="161" spans="2:27" x14ac:dyDescent="0.25">
      <c r="C161" s="88"/>
      <c r="D161" s="2"/>
      <c r="E161" s="2"/>
      <c r="G161" s="13"/>
    </row>
    <row r="162" spans="2:27" x14ac:dyDescent="0.25">
      <c r="E162" t="s">
        <v>897</v>
      </c>
      <c r="G162" s="13" t="s">
        <v>269</v>
      </c>
      <c r="H162" s="272"/>
      <c r="I162" s="272"/>
      <c r="J162" s="283">
        <f t="shared" ref="J162:K162" si="210" xml:space="preserve"> (J91 - J158) / IF( SUM(J16:J18) = 0, 1, SUM(J16:J18)) / ten</f>
        <v>4.2256566313076629</v>
      </c>
      <c r="K162" s="283">
        <f t="shared" si="210"/>
        <v>2.5772885323363957</v>
      </c>
      <c r="L162" s="283">
        <f t="shared" ref="L162:M162" si="211" xml:space="preserve"> (L91 - L158) / IF( SUM(L16:L18) = 0, 1, SUM(L16:L18)) / ten</f>
        <v>3.7610007505526966</v>
      </c>
      <c r="M162" s="283">
        <f t="shared" si="211"/>
        <v>3.2694647232294485</v>
      </c>
      <c r="N162" s="283">
        <f t="shared" ref="N162:P162" si="212" xml:space="preserve"> (N91 - N158) / IF( SUM(N16:N18) = 0, 1, SUM(N16:N18)) / ten</f>
        <v>4.1947341476849527</v>
      </c>
      <c r="O162" s="283">
        <f t="shared" si="212"/>
        <v>2.9904531766752971</v>
      </c>
      <c r="P162" s="283">
        <f t="shared" si="212"/>
        <v>4.0392391267406476</v>
      </c>
      <c r="Q162" s="283">
        <f t="shared" ref="Q162:S162" si="213" xml:space="preserve"> (Q91 - Q158) / IF( SUM(Q16:Q18) = 0, 1, SUM(Q16:Q18)) / ten</f>
        <v>5.3316325394273765</v>
      </c>
      <c r="R162" s="283">
        <f t="shared" si="213"/>
        <v>-1.5711987218482231</v>
      </c>
      <c r="S162" s="283">
        <f t="shared" si="213"/>
        <v>-1.4259047210300426</v>
      </c>
      <c r="T162" s="283">
        <f t="shared" ref="T162:U162" si="214" xml:space="preserve"> (T91 - T158) / IF( SUM(T16:T18) = 0, 1, SUM(T16:T18)) / ten</f>
        <v>-1.2898134490280595</v>
      </c>
      <c r="U162" s="283">
        <f t="shared" si="214"/>
        <v>0</v>
      </c>
      <c r="V162" s="283">
        <f t="shared" ref="V162:W162" si="215" xml:space="preserve"> (V91 - V158) / IF( SUM(V16:V18) = 0, 1, SUM(V16:V18)) / ten</f>
        <v>-1.2876903473434813</v>
      </c>
      <c r="W162" s="283">
        <f t="shared" si="215"/>
        <v>0</v>
      </c>
      <c r="X162" s="283">
        <f t="shared" ref="X162:Y162" si="216" xml:space="preserve"> (X91 - X158) / IF( SUM(X16:X18) = 0, 1, SUM(X16:X18)) / ten</f>
        <v>-0.60558230000161595</v>
      </c>
      <c r="Y162" s="283">
        <f t="shared" si="216"/>
        <v>0</v>
      </c>
      <c r="Z162" s="272"/>
      <c r="AA162" s="272"/>
    </row>
    <row r="163" spans="2:27" x14ac:dyDescent="0.25">
      <c r="C163" s="88"/>
      <c r="D163" s="2"/>
      <c r="E163" s="2"/>
      <c r="G163" s="13"/>
    </row>
    <row r="164" spans="2:27" x14ac:dyDescent="0.25">
      <c r="B164" s="30" t="s">
        <v>898</v>
      </c>
      <c r="C164" s="30"/>
      <c r="D164" s="30"/>
      <c r="E164" s="30"/>
      <c r="F164" s="30"/>
      <c r="G164" s="92"/>
      <c r="H164" s="30"/>
      <c r="I164" s="30"/>
      <c r="J164" s="30"/>
      <c r="K164" s="30"/>
      <c r="L164" s="30"/>
      <c r="M164" s="30"/>
      <c r="N164" s="30"/>
      <c r="O164" s="30"/>
      <c r="P164" s="30"/>
      <c r="Q164" s="30"/>
      <c r="R164" s="30"/>
      <c r="S164" s="30"/>
      <c r="T164" s="30"/>
      <c r="U164" s="30"/>
      <c r="V164" s="30"/>
      <c r="W164" s="30"/>
      <c r="X164" s="30"/>
      <c r="Y164" s="30"/>
      <c r="Z164" s="30"/>
      <c r="AA164" s="30"/>
    </row>
    <row r="165" spans="2:27" x14ac:dyDescent="0.25">
      <c r="F165" s="3"/>
      <c r="G165" s="216"/>
      <c r="H165" s="3"/>
      <c r="I165" s="3"/>
    </row>
    <row r="166" spans="2:27" x14ac:dyDescent="0.25">
      <c r="C166" s="31" t="str">
        <f ca="1">INDEX('Version control'!$H$34:$H$57,MATCH($A$1,'Version control'!$F$34:$F$57,0),1)&amp;"-J: LDNO typical bills using all-the-way volumes"</f>
        <v>Section 118-J: LDNO typical bills using all-the-way volumes</v>
      </c>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row>
    <row r="167" spans="2:27" x14ac:dyDescent="0.25">
      <c r="C167" s="88"/>
      <c r="D167" s="2"/>
      <c r="E167" s="2"/>
      <c r="G167" s="13"/>
    </row>
    <row r="168" spans="2:27" x14ac:dyDescent="0.25">
      <c r="E168" s="32" t="s">
        <v>899</v>
      </c>
      <c r="G168" s="13"/>
      <c r="H168" s="128"/>
      <c r="J168" s="63"/>
      <c r="K168" s="63"/>
      <c r="L168" s="63"/>
      <c r="M168" s="63"/>
      <c r="N168" s="63"/>
      <c r="O168" s="63"/>
      <c r="P168" s="63"/>
      <c r="Q168" s="63"/>
      <c r="R168" s="63"/>
      <c r="S168" s="63"/>
      <c r="T168" s="63"/>
      <c r="U168" s="63"/>
      <c r="V168" s="63"/>
      <c r="W168" s="63"/>
      <c r="X168" s="63"/>
      <c r="Y168" s="63"/>
    </row>
    <row r="169" spans="2:27" x14ac:dyDescent="0.25">
      <c r="E169" s="29" t="s">
        <v>900</v>
      </c>
    </row>
    <row r="170" spans="2:27" x14ac:dyDescent="0.25">
      <c r="E170" s="28"/>
      <c r="F170" s="23" t="s">
        <v>156</v>
      </c>
      <c r="G170" s="85" t="s">
        <v>901</v>
      </c>
      <c r="H170" s="222"/>
      <c r="I170" s="23"/>
      <c r="J170" s="126">
        <f t="shared" ref="J170:K170" si="217" xml:space="preserve"> IF( J$19 &lt;&gt; 0, J$16 * thousand * J54 / hundred / J$19, "")</f>
        <v>34.429175013652838</v>
      </c>
      <c r="K170" s="126">
        <f t="shared" si="217"/>
        <v>9.865224769182646</v>
      </c>
      <c r="L170" s="126">
        <f t="shared" ref="L170:M170" si="218" xml:space="preserve"> IF( L$19 &lt;&gt; 0, L$16 * thousand * L54 / hundred / L$19, "")</f>
        <v>113.69150138610335</v>
      </c>
      <c r="M170" s="126">
        <f t="shared" si="218"/>
        <v>90.28836613221111</v>
      </c>
      <c r="N170" s="126">
        <f t="shared" ref="N170:P170" si="219" xml:space="preserve"> IF( N$19 &lt;&gt; 0, N$16 * thousand * N54 / hundred / N$19, "")</f>
        <v>1335.8629437691602</v>
      </c>
      <c r="O170" s="126">
        <f t="shared" si="219"/>
        <v>0</v>
      </c>
      <c r="P170" s="126">
        <f t="shared" si="219"/>
        <v>0</v>
      </c>
      <c r="Q170" s="126">
        <f t="shared" ref="Q170:S170" si="220" xml:space="preserve"> IF( Q$19 &lt;&gt; 0, Q$16 * thousand * Q54 / hundred / Q$19, "")</f>
        <v>342.87940153327645</v>
      </c>
      <c r="R170" s="126">
        <f t="shared" si="220"/>
        <v>-131.74847028681063</v>
      </c>
      <c r="S170" s="126">
        <f t="shared" si="220"/>
        <v>0</v>
      </c>
      <c r="T170" s="126">
        <f t="shared" ref="T170:U170" si="221" xml:space="preserve"> IF( T$19 &lt;&gt; 0, T$16 * thousand * T54 / hundred / T$19, "")</f>
        <v>-3097.6086682092114</v>
      </c>
      <c r="U170" s="126" t="str">
        <f t="shared" si="221"/>
        <v/>
      </c>
      <c r="V170" s="126">
        <f t="shared" ref="V170:W170" si="222" xml:space="preserve"> IF( V$19 &lt;&gt; 0, V$16 * thousand * V54 / hundred / V$19, "")</f>
        <v>0</v>
      </c>
      <c r="W170" s="126" t="str">
        <f t="shared" si="222"/>
        <v/>
      </c>
      <c r="X170" s="126">
        <f t="shared" ref="X170:Y170" si="223" xml:space="preserve"> IF( X$19 &lt;&gt; 0, X$16 * thousand * X54 / hundred / X$19, "")</f>
        <v>0</v>
      </c>
      <c r="Y170" s="126" t="str">
        <f t="shared" si="223"/>
        <v/>
      </c>
    </row>
    <row r="171" spans="2:27" x14ac:dyDescent="0.25">
      <c r="E171" s="28"/>
      <c r="F171" t="s">
        <v>157</v>
      </c>
      <c r="G171" s="13" t="s">
        <v>901</v>
      </c>
      <c r="H171" s="102"/>
      <c r="J171" s="98">
        <f t="shared" ref="J171:K171" si="224" xml:space="preserve"> IF( J$19 &lt;&gt; 0, J$17 * thousand * J55 / hundred / J$19, "")</f>
        <v>34.633849202517787</v>
      </c>
      <c r="K171" s="98">
        <f t="shared" si="224"/>
        <v>43.278085539885367</v>
      </c>
      <c r="L171" s="98">
        <f t="shared" ref="L171:M171" si="225" xml:space="preserve"> IF( L$19 &lt;&gt; 0, L$17 * thousand * L55 / hundred / L$19, "")</f>
        <v>153.05991041942707</v>
      </c>
      <c r="M171" s="98">
        <f t="shared" si="225"/>
        <v>106.57668477120602</v>
      </c>
      <c r="N171" s="98">
        <f t="shared" ref="N171:P171" si="226" xml:space="preserve"> IF( N$19 &lt;&gt; 0, N$17 * thousand * N55 / hundred / N$19, "")</f>
        <v>1974.2885593391866</v>
      </c>
      <c r="O171" s="98">
        <f t="shared" si="226"/>
        <v>0</v>
      </c>
      <c r="P171" s="98">
        <f t="shared" si="226"/>
        <v>0</v>
      </c>
      <c r="Q171" s="98">
        <f t="shared" ref="Q171:S171" si="227" xml:space="preserve"> IF( Q$19 &lt;&gt; 0, Q$17 * thousand * Q55 / hundred / Q$19, "")</f>
        <v>526.58440447819657</v>
      </c>
      <c r="R171" s="98">
        <f t="shared" si="227"/>
        <v>-106.06777875151323</v>
      </c>
      <c r="S171" s="98">
        <f t="shared" si="227"/>
        <v>0</v>
      </c>
      <c r="T171" s="98">
        <f t="shared" ref="T171:U171" si="228" xml:space="preserve"> IF( T$19 &lt;&gt; 0, T$17 * thousand * T55 / hundred / T$19, "")</f>
        <v>-2513.1019011242897</v>
      </c>
      <c r="U171" s="98" t="str">
        <f t="shared" si="228"/>
        <v/>
      </c>
      <c r="V171" s="98">
        <f t="shared" ref="V171:W171" si="229" xml:space="preserve"> IF( V$19 &lt;&gt; 0, V$17 * thousand * V55 / hundred / V$19, "")</f>
        <v>0</v>
      </c>
      <c r="W171" s="98" t="str">
        <f t="shared" si="229"/>
        <v/>
      </c>
      <c r="X171" s="98">
        <f t="shared" ref="X171:Y171" si="230" xml:space="preserve"> IF( X$19 &lt;&gt; 0, X$17 * thousand * X55 / hundred / X$19, "")</f>
        <v>0</v>
      </c>
      <c r="Y171" s="98" t="str">
        <f t="shared" si="230"/>
        <v/>
      </c>
    </row>
    <row r="172" spans="2:27" x14ac:dyDescent="0.25">
      <c r="E172" s="28"/>
      <c r="F172" t="s">
        <v>158</v>
      </c>
      <c r="G172" s="13" t="s">
        <v>901</v>
      </c>
      <c r="H172" s="102"/>
      <c r="J172" s="98">
        <f t="shared" ref="J172:K172" si="231" xml:space="preserve"> IF( J$19 &lt;&gt; 0, J$18 * thousand * J56 / hundred / J$19, "")</f>
        <v>21.782434082180142</v>
      </c>
      <c r="K172" s="98">
        <f t="shared" si="231"/>
        <v>45.693187216085946</v>
      </c>
      <c r="L172" s="98">
        <f t="shared" ref="L172:M172" si="232" xml:space="preserve"> IF( L$19 &lt;&gt; 0, L$18 * thousand * L56 / hundred / L$19, "")</f>
        <v>72.917969236545773</v>
      </c>
      <c r="M172" s="98">
        <f t="shared" si="232"/>
        <v>91.293165793663817</v>
      </c>
      <c r="N172" s="98">
        <f t="shared" ref="N172:P172" si="233" xml:space="preserve"> IF( N$19 &lt;&gt; 0, N$18 * thousand * N56 / hundred / N$19, "")</f>
        <v>1103.9196479281454</v>
      </c>
      <c r="O172" s="98">
        <f t="shared" si="233"/>
        <v>0</v>
      </c>
      <c r="P172" s="98">
        <f t="shared" si="233"/>
        <v>0</v>
      </c>
      <c r="Q172" s="98">
        <f t="shared" ref="Q172:S172" si="234" xml:space="preserve"> IF( Q$19 &lt;&gt; 0, Q$18 * thousand * Q56 / hundred / Q$19, "")</f>
        <v>815.93507754890663</v>
      </c>
      <c r="R172" s="98">
        <f t="shared" si="234"/>
        <v>-25.990628799851645</v>
      </c>
      <c r="S172" s="98">
        <f t="shared" si="234"/>
        <v>0</v>
      </c>
      <c r="T172" s="98">
        <f t="shared" ref="T172:U172" si="235" xml:space="preserve"> IF( T$19 &lt;&gt; 0, T$18 * thousand * T56 / hundred / T$19, "")</f>
        <v>-1258.8053638250733</v>
      </c>
      <c r="U172" s="98" t="str">
        <f t="shared" si="235"/>
        <v/>
      </c>
      <c r="V172" s="98">
        <f t="shared" ref="V172:W172" si="236" xml:space="preserve"> IF( V$19 &lt;&gt; 0, V$18 * thousand * V56 / hundred / V$19, "")</f>
        <v>0</v>
      </c>
      <c r="W172" s="98" t="str">
        <f t="shared" si="236"/>
        <v/>
      </c>
      <c r="X172" s="98">
        <f t="shared" ref="X172:Y172" si="237" xml:space="preserve"> IF( X$19 &lt;&gt; 0, X$18 * thousand * X56 / hundred / X$19, "")</f>
        <v>0</v>
      </c>
      <c r="Y172" s="98" t="str">
        <f t="shared" si="237"/>
        <v/>
      </c>
    </row>
    <row r="173" spans="2:27" x14ac:dyDescent="0.25">
      <c r="E173" s="28"/>
      <c r="F173" s="23" t="s">
        <v>159</v>
      </c>
      <c r="G173" s="85" t="s">
        <v>901</v>
      </c>
      <c r="H173" s="222"/>
      <c r="I173" s="23"/>
      <c r="J173" s="126">
        <f t="shared" ref="J173:K173" si="238" xml:space="preserve"> IF( J$19 &lt;&gt; 0, J$19 * J57 * days_in_year / hundred / J$19, "")</f>
        <v>18.834</v>
      </c>
      <c r="K173" s="126">
        <f t="shared" si="238"/>
        <v>0</v>
      </c>
      <c r="L173" s="126">
        <f t="shared" ref="L173:M173" si="239" xml:space="preserve"> IF( L$19 &lt;&gt; 0, L$19 * L57 * days_in_year / hundred / L$19, "")</f>
        <v>26.170499999999993</v>
      </c>
      <c r="M173" s="126">
        <f t="shared" si="239"/>
        <v>0</v>
      </c>
      <c r="N173" s="126">
        <f t="shared" ref="N173:P173" si="240" xml:space="preserve"> IF( N$19 &lt;&gt; 0, N$19 * N57 * days_in_year / hundred / N$19, "")</f>
        <v>77.781499999999994</v>
      </c>
      <c r="O173" s="126">
        <f t="shared" si="240"/>
        <v>0</v>
      </c>
      <c r="P173" s="126">
        <f t="shared" si="240"/>
        <v>0</v>
      </c>
      <c r="Q173" s="126">
        <f t="shared" ref="Q173:S173" si="241" xml:space="preserve"> IF( Q$19 &lt;&gt; 0, Q$19 * Q57 * days_in_year / hundred / Q$19, "")</f>
        <v>0</v>
      </c>
      <c r="R173" s="126">
        <f t="shared" si="241"/>
        <v>0</v>
      </c>
      <c r="S173" s="126">
        <f t="shared" si="241"/>
        <v>0</v>
      </c>
      <c r="T173" s="126">
        <f t="shared" ref="T173:U173" si="242" xml:space="preserve"> IF( T$19 &lt;&gt; 0, T$19 * T57 * days_in_year / hundred / T$19, "")</f>
        <v>0</v>
      </c>
      <c r="U173" s="126" t="str">
        <f t="shared" si="242"/>
        <v/>
      </c>
      <c r="V173" s="126">
        <f t="shared" ref="V173:W173" si="243" xml:space="preserve"> IF( V$19 &lt;&gt; 0, V$19 * V57 * days_in_year / hundred / V$19, "")</f>
        <v>0</v>
      </c>
      <c r="W173" s="126" t="str">
        <f t="shared" si="243"/>
        <v/>
      </c>
      <c r="X173" s="126">
        <f t="shared" ref="X173:Y173" si="244" xml:space="preserve"> IF( X$19 &lt;&gt; 0, X$19 * X57 * days_in_year / hundred / X$19, "")</f>
        <v>0</v>
      </c>
      <c r="Y173" s="126" t="str">
        <f t="shared" si="244"/>
        <v/>
      </c>
    </row>
    <row r="174" spans="2:27" x14ac:dyDescent="0.25">
      <c r="E174" s="28"/>
      <c r="F174" t="s">
        <v>160</v>
      </c>
      <c r="G174" s="13" t="s">
        <v>901</v>
      </c>
      <c r="H174" s="102"/>
      <c r="J174" s="98">
        <f t="shared" ref="J174:K174" si="245" xml:space="preserve"> IF( J$19 &lt;&gt; 0, J$20 * J58 * days_in_year / hundred / J$19, "")</f>
        <v>0</v>
      </c>
      <c r="K174" s="98">
        <f t="shared" si="245"/>
        <v>0</v>
      </c>
      <c r="L174" s="98">
        <f t="shared" ref="L174:M174" si="246" xml:space="preserve"> IF( L$19 &lt;&gt; 0, L$20 * L58 * days_in_year / hundred / L$19, "")</f>
        <v>0</v>
      </c>
      <c r="M174" s="98">
        <f t="shared" si="246"/>
        <v>0</v>
      </c>
      <c r="N174" s="98">
        <f t="shared" ref="N174:P174" si="247" xml:space="preserve"> IF( N$19 &lt;&gt; 0, N$20 * N58 * days_in_year / hundred / N$19, "")</f>
        <v>1723.2129519047598</v>
      </c>
      <c r="O174" s="98">
        <f t="shared" si="247"/>
        <v>0</v>
      </c>
      <c r="P174" s="98">
        <f t="shared" si="247"/>
        <v>0</v>
      </c>
      <c r="Q174" s="98">
        <f t="shared" ref="Q174:S174" si="248" xml:space="preserve"> IF( Q$19 &lt;&gt; 0, Q$20 * Q58 * days_in_year / hundred / Q$19, "")</f>
        <v>0</v>
      </c>
      <c r="R174" s="98">
        <f t="shared" si="248"/>
        <v>0</v>
      </c>
      <c r="S174" s="98">
        <f t="shared" si="248"/>
        <v>0</v>
      </c>
      <c r="T174" s="98">
        <f t="shared" ref="T174:U174" si="249" xml:space="preserve"> IF( T$19 &lt;&gt; 0, T$20 * T58 * days_in_year / hundred / T$19, "")</f>
        <v>0</v>
      </c>
      <c r="U174" s="98" t="str">
        <f t="shared" si="249"/>
        <v/>
      </c>
      <c r="V174" s="98">
        <f t="shared" ref="V174:W174" si="250" xml:space="preserve"> IF( V$19 &lt;&gt; 0, V$20 * V58 * days_in_year / hundred / V$19, "")</f>
        <v>0</v>
      </c>
      <c r="W174" s="98" t="str">
        <f t="shared" si="250"/>
        <v/>
      </c>
      <c r="X174" s="98">
        <f t="shared" ref="X174:Y174" si="251" xml:space="preserve"> IF( X$19 &lt;&gt; 0, X$20 * X58 * days_in_year / hundred / X$19, "")</f>
        <v>0</v>
      </c>
      <c r="Y174" s="98" t="str">
        <f t="shared" si="251"/>
        <v/>
      </c>
    </row>
    <row r="175" spans="2:27" x14ac:dyDescent="0.25">
      <c r="E175" s="28"/>
      <c r="F175" t="s">
        <v>161</v>
      </c>
      <c r="G175" s="13" t="s">
        <v>901</v>
      </c>
      <c r="H175" s="102"/>
      <c r="J175" s="98">
        <f t="shared" ref="J175:K175" si="252" xml:space="preserve"> IF( J$19 &lt;&gt; 0, J$21 * J59 * days_in_year / hundred / J$19, "")</f>
        <v>0</v>
      </c>
      <c r="K175" s="98">
        <f t="shared" si="252"/>
        <v>0</v>
      </c>
      <c r="L175" s="98">
        <f t="shared" ref="L175:M175" si="253" xml:space="preserve"> IF( L$19 &lt;&gt; 0, L$21 * L59 * days_in_year / hundred / L$19, "")</f>
        <v>0</v>
      </c>
      <c r="M175" s="98">
        <f t="shared" si="253"/>
        <v>0</v>
      </c>
      <c r="N175" s="98">
        <f t="shared" ref="N175:P175" si="254" xml:space="preserve"> IF( N$19 &lt;&gt; 0, N$21 * N59 * days_in_year / hundred / N$19, "")</f>
        <v>70.745408648760971</v>
      </c>
      <c r="O175" s="98">
        <f t="shared" si="254"/>
        <v>0</v>
      </c>
      <c r="P175" s="98">
        <f t="shared" si="254"/>
        <v>0</v>
      </c>
      <c r="Q175" s="98">
        <f t="shared" ref="Q175:S175" si="255" xml:space="preserve"> IF( Q$19 &lt;&gt; 0, Q$21 * Q59 * days_in_year / hundred / Q$19, "")</f>
        <v>0</v>
      </c>
      <c r="R175" s="98">
        <f t="shared" si="255"/>
        <v>0</v>
      </c>
      <c r="S175" s="98">
        <f t="shared" si="255"/>
        <v>0</v>
      </c>
      <c r="T175" s="98">
        <f t="shared" ref="T175:U175" si="256" xml:space="preserve"> IF( T$19 &lt;&gt; 0, T$21 * T59 * days_in_year / hundred / T$19, "")</f>
        <v>0</v>
      </c>
      <c r="U175" s="98" t="str">
        <f t="shared" si="256"/>
        <v/>
      </c>
      <c r="V175" s="98">
        <f t="shared" ref="V175:W175" si="257" xml:space="preserve"> IF( V$19 &lt;&gt; 0, V$21 * V59 * days_in_year / hundred / V$19, "")</f>
        <v>0</v>
      </c>
      <c r="W175" s="98" t="str">
        <f t="shared" si="257"/>
        <v/>
      </c>
      <c r="X175" s="98">
        <f t="shared" ref="X175:Y175" si="258" xml:space="preserve"> IF( X$19 &lt;&gt; 0, X$21 * X59 * days_in_year / hundred / X$19, "")</f>
        <v>0</v>
      </c>
      <c r="Y175" s="98" t="str">
        <f t="shared" si="258"/>
        <v/>
      </c>
    </row>
    <row r="176" spans="2:27" x14ac:dyDescent="0.25">
      <c r="E176" s="28"/>
      <c r="F176" s="23" t="s">
        <v>162</v>
      </c>
      <c r="G176" s="85" t="s">
        <v>901</v>
      </c>
      <c r="H176" s="222"/>
      <c r="I176" s="23"/>
      <c r="J176" s="126">
        <f t="shared" ref="J176:K176" si="259" xml:space="preserve"> IF( J$19 &lt;&gt; 0, J$22 * thousand * J60 / hundred / J$19, "")</f>
        <v>0</v>
      </c>
      <c r="K176" s="126">
        <f t="shared" si="259"/>
        <v>0</v>
      </c>
      <c r="L176" s="126">
        <f t="shared" ref="L176:M176" si="260" xml:space="preserve"> IF( L$19 &lt;&gt; 0, L$22 * thousand * L60 / hundred / L$19, "")</f>
        <v>0</v>
      </c>
      <c r="M176" s="126">
        <f t="shared" si="260"/>
        <v>0</v>
      </c>
      <c r="N176" s="126">
        <f t="shared" ref="N176:P176" si="261" xml:space="preserve"> IF( N$19 &lt;&gt; 0, N$22 * thousand * N60 / hundred / N$19, "")</f>
        <v>55.049727093365306</v>
      </c>
      <c r="O176" s="126">
        <f t="shared" si="261"/>
        <v>0</v>
      </c>
      <c r="P176" s="126">
        <f t="shared" si="261"/>
        <v>0</v>
      </c>
      <c r="Q176" s="126">
        <f t="shared" ref="Q176:S176" si="262" xml:space="preserve"> IF( Q$19 &lt;&gt; 0, Q$22 * thousand * Q60 / hundred / Q$19, "")</f>
        <v>0</v>
      </c>
      <c r="R176" s="126">
        <f t="shared" si="262"/>
        <v>0</v>
      </c>
      <c r="S176" s="126">
        <f t="shared" si="262"/>
        <v>0</v>
      </c>
      <c r="T176" s="126">
        <f t="shared" ref="T176:U176" si="263" xml:space="preserve"> IF( T$19 &lt;&gt; 0, T$22 * thousand * T60 / hundred / T$19, "")</f>
        <v>87.438380362128299</v>
      </c>
      <c r="U176" s="126" t="str">
        <f t="shared" si="263"/>
        <v/>
      </c>
      <c r="V176" s="126">
        <f t="shared" ref="V176:W176" si="264" xml:space="preserve"> IF( V$19 &lt;&gt; 0, V$22 * thousand * V60 / hundred / V$19, "")</f>
        <v>0</v>
      </c>
      <c r="W176" s="126" t="str">
        <f t="shared" si="264"/>
        <v/>
      </c>
      <c r="X176" s="126">
        <f t="shared" ref="X176:Y176" si="265" xml:space="preserve"> IF( X$19 &lt;&gt; 0, X$22 * thousand * X60 / hundred / X$19, "")</f>
        <v>0</v>
      </c>
      <c r="Y176" s="126" t="str">
        <f t="shared" si="265"/>
        <v/>
      </c>
    </row>
    <row r="177" spans="3:27" x14ac:dyDescent="0.25">
      <c r="E177" s="28"/>
      <c r="F177" s="108" t="s">
        <v>100</v>
      </c>
      <c r="G177" s="218" t="s">
        <v>901</v>
      </c>
      <c r="H177" s="223"/>
      <c r="I177" s="108"/>
      <c r="J177" s="153">
        <f t="shared" ref="J177:K177" si="266">SUM(J170:J176)</f>
        <v>109.67945829835077</v>
      </c>
      <c r="K177" s="153">
        <f t="shared" si="266"/>
        <v>98.836497525153959</v>
      </c>
      <c r="L177" s="153">
        <f t="shared" ref="L177:M177" si="267">SUM(L170:L176)</f>
        <v>365.83988104207623</v>
      </c>
      <c r="M177" s="153">
        <f t="shared" si="267"/>
        <v>288.15821669708095</v>
      </c>
      <c r="N177" s="153">
        <f t="shared" ref="N177:P177" si="268">SUM(N170:N176)</f>
        <v>6340.8607386833792</v>
      </c>
      <c r="O177" s="153">
        <f t="shared" si="268"/>
        <v>0</v>
      </c>
      <c r="P177" s="153">
        <f t="shared" si="268"/>
        <v>0</v>
      </c>
      <c r="Q177" s="153">
        <f t="shared" ref="Q177:S177" si="269">SUM(Q170:Q176)</f>
        <v>1685.3988835603795</v>
      </c>
      <c r="R177" s="153">
        <f t="shared" si="269"/>
        <v>-263.80687783817552</v>
      </c>
      <c r="S177" s="153">
        <f t="shared" si="269"/>
        <v>0</v>
      </c>
      <c r="T177" s="153">
        <f t="shared" ref="T177:U177" si="270">SUM(T170:T176)</f>
        <v>-6782.0775527964461</v>
      </c>
      <c r="U177" s="153">
        <f t="shared" si="270"/>
        <v>0</v>
      </c>
      <c r="V177" s="153">
        <f t="shared" ref="V177:W177" si="271">SUM(V170:V176)</f>
        <v>0</v>
      </c>
      <c r="W177" s="153">
        <f t="shared" si="271"/>
        <v>0</v>
      </c>
      <c r="X177" s="153">
        <f t="shared" ref="X177:Y177" si="272">SUM(X170:X176)</f>
        <v>0</v>
      </c>
      <c r="Y177" s="153">
        <f t="shared" si="272"/>
        <v>0</v>
      </c>
    </row>
    <row r="178" spans="3:27" x14ac:dyDescent="0.25">
      <c r="D178" s="28"/>
      <c r="G178" s="13"/>
      <c r="J178" s="89"/>
      <c r="K178" s="89"/>
      <c r="L178" s="89"/>
      <c r="M178" s="89"/>
      <c r="N178" s="89"/>
      <c r="O178" s="89"/>
      <c r="P178" s="89"/>
      <c r="Q178" s="89"/>
      <c r="R178" s="89"/>
      <c r="S178" s="89"/>
      <c r="T178" s="89"/>
      <c r="U178" s="89"/>
      <c r="V178" s="89"/>
      <c r="W178" s="89"/>
      <c r="X178" s="89"/>
      <c r="Y178" s="89"/>
    </row>
    <row r="179" spans="3:27" x14ac:dyDescent="0.25">
      <c r="E179" s="32" t="s">
        <v>902</v>
      </c>
      <c r="G179" s="13"/>
      <c r="H179" s="128"/>
      <c r="J179" s="89"/>
      <c r="K179" s="89"/>
      <c r="L179" s="89"/>
      <c r="M179" s="89"/>
      <c r="N179" s="89"/>
      <c r="O179" s="89"/>
      <c r="P179" s="89"/>
      <c r="Q179" s="89"/>
      <c r="R179" s="89"/>
      <c r="S179" s="89"/>
      <c r="T179" s="89"/>
      <c r="U179" s="89"/>
      <c r="V179" s="89"/>
      <c r="W179" s="89"/>
      <c r="X179" s="89"/>
      <c r="Y179" s="89"/>
    </row>
    <row r="180" spans="3:27" x14ac:dyDescent="0.25">
      <c r="E180" s="29" t="s">
        <v>903</v>
      </c>
      <c r="J180" s="89"/>
      <c r="K180" s="89"/>
      <c r="L180" s="89"/>
      <c r="M180" s="89"/>
      <c r="N180" s="89"/>
      <c r="O180" s="89"/>
      <c r="P180" s="89"/>
      <c r="Q180" s="89"/>
      <c r="R180" s="89"/>
      <c r="S180" s="89"/>
      <c r="T180" s="89"/>
      <c r="U180" s="89"/>
      <c r="V180" s="89"/>
      <c r="W180" s="89"/>
      <c r="X180" s="89"/>
      <c r="Y180" s="89"/>
    </row>
    <row r="181" spans="3:27" x14ac:dyDescent="0.25">
      <c r="C181" s="88"/>
      <c r="F181" s="23" t="s">
        <v>156</v>
      </c>
      <c r="G181" s="85" t="s">
        <v>901</v>
      </c>
      <c r="H181" s="222"/>
      <c r="I181" s="23"/>
      <c r="J181" s="126">
        <f t="shared" ref="J181:K181" si="273" xml:space="preserve"> IF( J$19 &lt;&gt; 0, J$16 * thousand * J63 / hundred / J$19,"")</f>
        <v>22.059332987538554</v>
      </c>
      <c r="K181" s="126">
        <f t="shared" si="273"/>
        <v>6.3208101296071195</v>
      </c>
      <c r="L181" s="126">
        <f t="shared" ref="L181:M181" si="274" xml:space="preserve"> IF( L$19 &lt;&gt; 0, L$16 * thousand * L63 / hundred / L$19,"")</f>
        <v>72.834269498174763</v>
      </c>
      <c r="M181" s="126">
        <f t="shared" si="274"/>
        <v>57.841501882278273</v>
      </c>
      <c r="N181" s="126">
        <f t="shared" ref="N181:P181" si="275" xml:space="preserve"> IF( N$19 &lt;&gt; 0, N$16 * thousand * N63 / hundred / N$19,"")</f>
        <v>855.78719835211825</v>
      </c>
      <c r="O181" s="126">
        <f t="shared" si="275"/>
        <v>3468.618832940946</v>
      </c>
      <c r="P181" s="126">
        <f t="shared" si="275"/>
        <v>3160.9790668722931</v>
      </c>
      <c r="Q181" s="126">
        <f t="shared" ref="Q181:S181" si="276" xml:space="preserve"> IF( Q$19 &lt;&gt; 0, Q$16 * thousand * Q63 / hundred / Q$19,"")</f>
        <v>219.67175011737373</v>
      </c>
      <c r="R181" s="126">
        <f t="shared" si="276"/>
        <v>-131.74847028681063</v>
      </c>
      <c r="S181" s="126">
        <f t="shared" si="276"/>
        <v>-25.777440000000002</v>
      </c>
      <c r="T181" s="126">
        <f t="shared" ref="T181:U181" si="277" xml:space="preserve"> IF( T$19 &lt;&gt; 0, T$16 * thousand * T63 / hundred / T$19,"")</f>
        <v>-3097.6086682092114</v>
      </c>
      <c r="U181" s="126" t="str">
        <f t="shared" si="277"/>
        <v/>
      </c>
      <c r="V181" s="126">
        <f t="shared" ref="V181:W181" si="278" xml:space="preserve"> IF( V$19 &lt;&gt; 0, V$16 * thousand * V63 / hundred / V$19,"")</f>
        <v>-11168.082197999996</v>
      </c>
      <c r="W181" s="126" t="str">
        <f t="shared" si="278"/>
        <v/>
      </c>
      <c r="X181" s="126">
        <f t="shared" ref="X181:Y181" si="279" xml:space="preserve"> IF( X$19 &lt;&gt; 0, X$16 * thousand * X63 / hundred / X$19,"")</f>
        <v>-14845.136601031871</v>
      </c>
      <c r="Y181" s="126" t="str">
        <f t="shared" si="279"/>
        <v/>
      </c>
    </row>
    <row r="182" spans="3:27" x14ac:dyDescent="0.25">
      <c r="C182" s="88"/>
      <c r="F182" t="s">
        <v>157</v>
      </c>
      <c r="G182" s="13" t="s">
        <v>901</v>
      </c>
      <c r="H182" s="102"/>
      <c r="J182" s="98">
        <f t="shared" ref="J182:K182" si="280" xml:space="preserve"> IF( J$19 &lt;&gt; 0, J$17 * thousand * J64 / hundred / J$19, "")</f>
        <v>22.19239718815464</v>
      </c>
      <c r="K182" s="98">
        <f t="shared" si="280"/>
        <v>27.731380887754352</v>
      </c>
      <c r="L182" s="98">
        <f t="shared" ref="L182:M182" si="281" xml:space="preserve"> IF( L$19 &lt;&gt; 0, L$17 * thousand * L64 / hundred / L$19, "")</f>
        <v>98.067882643008161</v>
      </c>
      <c r="M182" s="98">
        <f t="shared" si="281"/>
        <v>68.285351703021249</v>
      </c>
      <c r="N182" s="98">
        <f t="shared" ref="N182:P182" si="282" xml:space="preserve"> IF( N$19 &lt;&gt; 0, N$17 * thousand * N64 / hundred / N$19, "")</f>
        <v>1265.0030220723943</v>
      </c>
      <c r="O182" s="98">
        <f t="shared" si="282"/>
        <v>6594.2310415014435</v>
      </c>
      <c r="P182" s="98">
        <f t="shared" si="282"/>
        <v>6774.9808260659902</v>
      </c>
      <c r="Q182" s="98">
        <f t="shared" ref="Q182:S182" si="283" xml:space="preserve"> IF( Q$19 &lt;&gt; 0, Q$17 * thousand * Q64 / hundred / Q$19, "")</f>
        <v>337.39327633187503</v>
      </c>
      <c r="R182" s="98">
        <f t="shared" si="283"/>
        <v>-106.06777875151323</v>
      </c>
      <c r="S182" s="98">
        <f t="shared" si="283"/>
        <v>-18.944250000000007</v>
      </c>
      <c r="T182" s="98">
        <f t="shared" ref="T182:U182" si="284" xml:space="preserve"> IF( T$19 &lt;&gt; 0, T$17 * thousand * T64 / hundred / T$19, "")</f>
        <v>-2513.1019011242897</v>
      </c>
      <c r="U182" s="98" t="str">
        <f t="shared" si="284"/>
        <v/>
      </c>
      <c r="V182" s="98">
        <f t="shared" ref="V182:W182" si="285" xml:space="preserve"> IF( V$19 &lt;&gt; 0, V$17 * thousand * V64 / hundred / V$19, "")</f>
        <v>-7478.121299999998</v>
      </c>
      <c r="W182" s="98" t="str">
        <f t="shared" si="285"/>
        <v/>
      </c>
      <c r="X182" s="98">
        <f t="shared" ref="X182:Y182" si="286" xml:space="preserve"> IF( X$19 &lt;&gt; 0, X$17 * thousand * X64 / hundred / X$19, "")</f>
        <v>-10868.801618641115</v>
      </c>
      <c r="Y182" s="98" t="str">
        <f t="shared" si="286"/>
        <v/>
      </c>
    </row>
    <row r="183" spans="3:27" x14ac:dyDescent="0.25">
      <c r="C183" s="88"/>
      <c r="F183" t="s">
        <v>158</v>
      </c>
      <c r="G183" s="13" t="s">
        <v>901</v>
      </c>
      <c r="H183" s="102"/>
      <c r="J183" s="98">
        <f t="shared" ref="J183:K183" si="287" xml:space="preserve"> IF( J$19 &lt;&gt; 0, J$18 * thousand * J65 / hundred / J$19, "")</f>
        <v>13.952246119259037</v>
      </c>
      <c r="K183" s="98">
        <f t="shared" si="287"/>
        <v>29.26773893160814</v>
      </c>
      <c r="L183" s="98">
        <f t="shared" ref="L183:M183" si="288" xml:space="preserve"> IF( L$19 &lt;&gt; 0, L$18 * thousand * L65 / hundred / L$19, "")</f>
        <v>46.701392463871073</v>
      </c>
      <c r="M183" s="98">
        <f t="shared" si="288"/>
        <v>58.470059021642513</v>
      </c>
      <c r="N183" s="98">
        <f t="shared" ref="N183:P183" si="289" xml:space="preserve"> IF( N$19 &lt;&gt; 0, N$18 * thousand * N65 / hundred / N$19, "")</f>
        <v>706.93953429632734</v>
      </c>
      <c r="O183" s="98">
        <f t="shared" si="289"/>
        <v>5112.098791348234</v>
      </c>
      <c r="P183" s="98">
        <f t="shared" si="289"/>
        <v>5467.4297773953958</v>
      </c>
      <c r="Q183" s="98">
        <f t="shared" ref="Q183:S183" si="290" xml:space="preserve"> IF( Q$19 &lt;&gt; 0, Q$18 * thousand * Q65 / hundred / Q$19, "")</f>
        <v>522.84038613123516</v>
      </c>
      <c r="R183" s="98">
        <f t="shared" si="290"/>
        <v>-25.990628799851645</v>
      </c>
      <c r="S183" s="98">
        <f t="shared" si="290"/>
        <v>-5.1136800000000031</v>
      </c>
      <c r="T183" s="98">
        <f t="shared" ref="T183:U183" si="291" xml:space="preserve"> IF( T$19 &lt;&gt; 0, T$18 * thousand * T65 / hundred / T$19, "")</f>
        <v>-1258.8053638250733</v>
      </c>
      <c r="U183" s="98" t="str">
        <f t="shared" si="291"/>
        <v/>
      </c>
      <c r="V183" s="98">
        <f t="shared" ref="V183:W183" si="292" xml:space="preserve"> IF( V$19 &lt;&gt; 0, V$18 * thousand * V65 / hundred / V$19, "")</f>
        <v>-3452.6791814999992</v>
      </c>
      <c r="W183" s="98" t="str">
        <f t="shared" si="292"/>
        <v/>
      </c>
      <c r="X183" s="98">
        <f t="shared" ref="X183:Y183" si="293" xml:space="preserve"> IF( X$19 &lt;&gt; 0, X$18 * thousand * X65 / hundred / X$19, "")</f>
        <v>-5137.5685224058443</v>
      </c>
      <c r="Y183" s="98" t="str">
        <f t="shared" si="293"/>
        <v/>
      </c>
    </row>
    <row r="184" spans="3:27" x14ac:dyDescent="0.25">
      <c r="C184" s="88"/>
      <c r="F184" s="23" t="s">
        <v>159</v>
      </c>
      <c r="G184" s="85" t="s">
        <v>901</v>
      </c>
      <c r="H184" s="222"/>
      <c r="I184" s="23"/>
      <c r="J184" s="126">
        <f t="shared" ref="J184:K184" si="294" xml:space="preserve"> IF( J$19 &lt;&gt; 0, J$19 * J66 * days_in_year / hundred / J$19, "")</f>
        <v>12.7385</v>
      </c>
      <c r="K184" s="126">
        <f t="shared" si="294"/>
        <v>0</v>
      </c>
      <c r="L184" s="126">
        <f t="shared" ref="L184:M184" si="295" xml:space="preserve"> IF( L$19 &lt;&gt; 0, L$19 * L66 * days_in_year / hundred / L$19, "")</f>
        <v>17.374000000000002</v>
      </c>
      <c r="M184" s="126">
        <f t="shared" si="295"/>
        <v>0</v>
      </c>
      <c r="N184" s="126">
        <f t="shared" ref="N184:P184" si="296" xml:space="preserve"> IF( N$19 &lt;&gt; 0, N$19 * N66 * days_in_year / hundred / N$19, "")</f>
        <v>50.442999999999998</v>
      </c>
      <c r="O184" s="126">
        <f t="shared" si="296"/>
        <v>132.75049999999999</v>
      </c>
      <c r="P184" s="126">
        <f t="shared" si="296"/>
        <v>805.95650000000001</v>
      </c>
      <c r="Q184" s="126">
        <f t="shared" ref="Q184:S184" si="297" xml:space="preserve"> IF( Q$19 &lt;&gt; 0, Q$19 * Q66 * days_in_year / hundred / Q$19, "")</f>
        <v>0</v>
      </c>
      <c r="R184" s="126">
        <f t="shared" si="297"/>
        <v>0</v>
      </c>
      <c r="S184" s="126">
        <f t="shared" si="297"/>
        <v>0</v>
      </c>
      <c r="T184" s="126">
        <f t="shared" ref="T184:U184" si="298" xml:space="preserve"> IF( T$19 &lt;&gt; 0, T$19 * T66 * days_in_year / hundred / T$19, "")</f>
        <v>0</v>
      </c>
      <c r="U184" s="126" t="str">
        <f t="shared" si="298"/>
        <v/>
      </c>
      <c r="V184" s="126">
        <f t="shared" ref="V184:W184" si="299" xml:space="preserve"> IF( V$19 &lt;&gt; 0, V$19 * V66 * days_in_year / hundred / V$19, "")</f>
        <v>0</v>
      </c>
      <c r="W184" s="126" t="str">
        <f t="shared" si="299"/>
        <v/>
      </c>
      <c r="X184" s="126">
        <f t="shared" ref="X184:Y184" si="300" xml:space="preserve"> IF( X$19 &lt;&gt; 0, X$19 * X66 * days_in_year / hundred / X$19, "")</f>
        <v>0</v>
      </c>
      <c r="Y184" s="126" t="str">
        <f t="shared" si="300"/>
        <v/>
      </c>
    </row>
    <row r="185" spans="3:27" x14ac:dyDescent="0.25">
      <c r="C185" s="88"/>
      <c r="F185" t="s">
        <v>160</v>
      </c>
      <c r="G185" s="13" t="s">
        <v>901</v>
      </c>
      <c r="H185" s="102"/>
      <c r="J185" s="98">
        <f t="shared" ref="J185:K185" si="301" xml:space="preserve"> IF( J$19 &lt;&gt; 0, J$20 * J67 * days_in_year / hundred / J$19, "")</f>
        <v>0</v>
      </c>
      <c r="K185" s="98">
        <f t="shared" si="301"/>
        <v>0</v>
      </c>
      <c r="L185" s="98">
        <f t="shared" ref="L185:M185" si="302" xml:space="preserve"> IF( L$19 &lt;&gt; 0, L$20 * L67 * days_in_year / hundred / L$19, "")</f>
        <v>0</v>
      </c>
      <c r="M185" s="98">
        <f t="shared" si="302"/>
        <v>0</v>
      </c>
      <c r="N185" s="98">
        <f t="shared" ref="N185:P185" si="303" xml:space="preserve"> IF( N$19 &lt;&gt; 0, N$20 * N67 * days_in_year / hundred / N$19, "")</f>
        <v>1101.3372034212239</v>
      </c>
      <c r="O185" s="98">
        <f t="shared" si="303"/>
        <v>6034.0843146885218</v>
      </c>
      <c r="P185" s="98">
        <f t="shared" si="303"/>
        <v>16671.202080037681</v>
      </c>
      <c r="Q185" s="98">
        <f t="shared" ref="Q185:S185" si="304" xml:space="preserve"> IF( Q$19 &lt;&gt; 0, Q$20 * Q67 * days_in_year / hundred / Q$19, "")</f>
        <v>0</v>
      </c>
      <c r="R185" s="98">
        <f t="shared" si="304"/>
        <v>0</v>
      </c>
      <c r="S185" s="98">
        <f t="shared" si="304"/>
        <v>0</v>
      </c>
      <c r="T185" s="98">
        <f t="shared" ref="T185:U185" si="305" xml:space="preserve"> IF( T$19 &lt;&gt; 0, T$20 * T67 * days_in_year / hundred / T$19, "")</f>
        <v>0</v>
      </c>
      <c r="U185" s="98" t="str">
        <f t="shared" si="305"/>
        <v/>
      </c>
      <c r="V185" s="98">
        <f t="shared" ref="V185:W185" si="306" xml:space="preserve"> IF( V$19 &lt;&gt; 0, V$20 * V67 * days_in_year / hundred / V$19, "")</f>
        <v>0</v>
      </c>
      <c r="W185" s="98" t="str">
        <f t="shared" si="306"/>
        <v/>
      </c>
      <c r="X185" s="98">
        <f t="shared" ref="X185:Y185" si="307" xml:space="preserve"> IF( X$19 &lt;&gt; 0, X$20 * X67 * days_in_year / hundred / X$19, "")</f>
        <v>0</v>
      </c>
      <c r="Y185" s="98" t="str">
        <f t="shared" si="307"/>
        <v/>
      </c>
    </row>
    <row r="186" spans="3:27" x14ac:dyDescent="0.25">
      <c r="C186" s="88"/>
      <c r="F186" t="s">
        <v>161</v>
      </c>
      <c r="G186" s="13" t="s">
        <v>901</v>
      </c>
      <c r="H186" s="102"/>
      <c r="J186" s="98">
        <f t="shared" ref="J186:K186" si="308" xml:space="preserve"> IF( J$19 &lt;&gt; 0, J$21 * J68 * days_in_year / hundred / J$19, "")</f>
        <v>0</v>
      </c>
      <c r="K186" s="98">
        <f t="shared" si="308"/>
        <v>0</v>
      </c>
      <c r="L186" s="98">
        <f t="shared" ref="L186:M186" si="309" xml:space="preserve"> IF( L$19 &lt;&gt; 0, L$21 * L68 * days_in_year / hundred / L$19, "")</f>
        <v>0</v>
      </c>
      <c r="M186" s="98">
        <f t="shared" si="309"/>
        <v>0</v>
      </c>
      <c r="N186" s="98">
        <f t="shared" ref="N186:P186" si="310" xml:space="preserve"> IF( N$19 &lt;&gt; 0, N$21 * N68 * days_in_year / hundred / N$19, "")</f>
        <v>45.377657788617931</v>
      </c>
      <c r="O186" s="98">
        <f t="shared" si="310"/>
        <v>287.5761611093269</v>
      </c>
      <c r="P186" s="98">
        <f t="shared" si="310"/>
        <v>399.1398669872458</v>
      </c>
      <c r="Q186" s="98">
        <f t="shared" ref="Q186:S186" si="311" xml:space="preserve"> IF( Q$19 &lt;&gt; 0, Q$21 * Q68 * days_in_year / hundred / Q$19, "")</f>
        <v>0</v>
      </c>
      <c r="R186" s="98">
        <f t="shared" si="311"/>
        <v>0</v>
      </c>
      <c r="S186" s="98">
        <f t="shared" si="311"/>
        <v>0</v>
      </c>
      <c r="T186" s="98">
        <f t="shared" ref="T186:U186" si="312" xml:space="preserve"> IF( T$19 &lt;&gt; 0, T$21 * T68 * days_in_year / hundred / T$19, "")</f>
        <v>0</v>
      </c>
      <c r="U186" s="98" t="str">
        <f t="shared" si="312"/>
        <v/>
      </c>
      <c r="V186" s="98">
        <f t="shared" ref="V186:W186" si="313" xml:space="preserve"> IF( V$19 &lt;&gt; 0, V$21 * V68 * days_in_year / hundred / V$19, "")</f>
        <v>0</v>
      </c>
      <c r="W186" s="98" t="str">
        <f t="shared" si="313"/>
        <v/>
      </c>
      <c r="X186" s="98">
        <f t="shared" ref="X186:Y186" si="314" xml:space="preserve"> IF( X$19 &lt;&gt; 0, X$21 * X68 * days_in_year / hundred / X$19, "")</f>
        <v>0</v>
      </c>
      <c r="Y186" s="98" t="str">
        <f t="shared" si="314"/>
        <v/>
      </c>
    </row>
    <row r="187" spans="3:27" x14ac:dyDescent="0.25">
      <c r="C187" s="88"/>
      <c r="F187" s="23" t="s">
        <v>162</v>
      </c>
      <c r="G187" s="85" t="s">
        <v>901</v>
      </c>
      <c r="H187" s="222"/>
      <c r="I187" s="23"/>
      <c r="J187" s="126">
        <f t="shared" ref="J187:K187" si="315" xml:space="preserve"> IF( J$19 &lt;&gt; 0, J$22 * thousand * J69 / hundred / J$19, "")</f>
        <v>0</v>
      </c>
      <c r="K187" s="126">
        <f t="shared" si="315"/>
        <v>0</v>
      </c>
      <c r="L187" s="126">
        <f t="shared" ref="L187:M187" si="316" xml:space="preserve"> IF( L$19 &lt;&gt; 0, L$22 * thousand * L69 / hundred / L$19, "")</f>
        <v>0</v>
      </c>
      <c r="M187" s="126">
        <f t="shared" si="316"/>
        <v>0</v>
      </c>
      <c r="N187" s="126">
        <f t="shared" ref="N187:P187" si="317" xml:space="preserve"> IF( N$19 &lt;&gt; 0, N$22 * thousand * N69 / hundred / N$19, "")</f>
        <v>35.083504831522966</v>
      </c>
      <c r="O187" s="126">
        <f t="shared" si="317"/>
        <v>73.969186077908219</v>
      </c>
      <c r="P187" s="126">
        <f t="shared" si="317"/>
        <v>117.80435791218689</v>
      </c>
      <c r="Q187" s="126">
        <f t="shared" ref="Q187:S187" si="318" xml:space="preserve"> IF( Q$19 &lt;&gt; 0, Q$22 * thousand * Q69 / hundred / Q$19, "")</f>
        <v>0</v>
      </c>
      <c r="R187" s="126">
        <f t="shared" si="318"/>
        <v>0</v>
      </c>
      <c r="S187" s="126">
        <f t="shared" si="318"/>
        <v>0</v>
      </c>
      <c r="T187" s="126">
        <f t="shared" ref="T187:U187" si="319" xml:space="preserve"> IF( T$19 &lt;&gt; 0, T$22 * thousand * T69 / hundred / T$19, "")</f>
        <v>87.438380362128299</v>
      </c>
      <c r="U187" s="126" t="str">
        <f t="shared" si="319"/>
        <v/>
      </c>
      <c r="V187" s="126">
        <f t="shared" ref="V187:W187" si="320" xml:space="preserve"> IF( V$19 &lt;&gt; 0, V$22 * thousand * V69 / hundred / V$19, "")</f>
        <v>0</v>
      </c>
      <c r="W187" s="126" t="str">
        <f t="shared" si="320"/>
        <v/>
      </c>
      <c r="X187" s="126">
        <f t="shared" ref="X187:Y187" si="321" xml:space="preserve"> IF( X$19 &lt;&gt; 0, X$22 * thousand * X69 / hundred / X$19, "")</f>
        <v>234.8109492146894</v>
      </c>
      <c r="Y187" s="126" t="str">
        <f t="shared" si="321"/>
        <v/>
      </c>
    </row>
    <row r="188" spans="3:27" x14ac:dyDescent="0.25">
      <c r="C188" s="88"/>
      <c r="F188" s="108" t="s">
        <v>100</v>
      </c>
      <c r="G188" s="218" t="s">
        <v>901</v>
      </c>
      <c r="H188" s="223"/>
      <c r="I188" s="108"/>
      <c r="J188" s="153">
        <f t="shared" ref="J188:K188" si="322">SUM(J181:J187)</f>
        <v>70.942476294952229</v>
      </c>
      <c r="K188" s="153">
        <f t="shared" si="322"/>
        <v>63.319929948969616</v>
      </c>
      <c r="L188" s="153">
        <f t="shared" ref="L188:M188" si="323">SUM(L181:L187)</f>
        <v>234.97754460505396</v>
      </c>
      <c r="M188" s="153">
        <f t="shared" si="323"/>
        <v>184.59691260694206</v>
      </c>
      <c r="N188" s="153">
        <f t="shared" ref="N188:P188" si="324">SUM(N181:N187)</f>
        <v>4059.9711207622049</v>
      </c>
      <c r="O188" s="153">
        <f t="shared" si="324"/>
        <v>21703.328827666381</v>
      </c>
      <c r="P188" s="153">
        <f t="shared" si="324"/>
        <v>33397.492475270788</v>
      </c>
      <c r="Q188" s="153">
        <f t="shared" ref="Q188:S188" si="325">SUM(Q181:Q187)</f>
        <v>1079.9054125804839</v>
      </c>
      <c r="R188" s="153">
        <f t="shared" si="325"/>
        <v>-263.80687783817552</v>
      </c>
      <c r="S188" s="153">
        <f t="shared" si="325"/>
        <v>-49.835370000000012</v>
      </c>
      <c r="T188" s="153">
        <f t="shared" ref="T188:U188" si="326">SUM(T181:T187)</f>
        <v>-6782.0775527964461</v>
      </c>
      <c r="U188" s="153">
        <f t="shared" si="326"/>
        <v>0</v>
      </c>
      <c r="V188" s="153">
        <f t="shared" ref="V188:W188" si="327">SUM(V181:V187)</f>
        <v>-22098.882679499995</v>
      </c>
      <c r="W188" s="153">
        <f t="shared" si="327"/>
        <v>0</v>
      </c>
      <c r="X188" s="153">
        <f t="shared" ref="X188:Y188" si="328">SUM(X181:X187)</f>
        <v>-30616.695792864139</v>
      </c>
      <c r="Y188" s="153">
        <f t="shared" si="328"/>
        <v>0</v>
      </c>
    </row>
    <row r="189" spans="3:27" x14ac:dyDescent="0.25">
      <c r="C189" s="88"/>
      <c r="D189" s="2"/>
      <c r="E189" s="2"/>
      <c r="G189" s="13"/>
    </row>
    <row r="190" spans="3:27" x14ac:dyDescent="0.25">
      <c r="C190" s="31" t="str">
        <f ca="1">INDEX('Version control'!$H$34:$H$57,MATCH($A$1,'Version control'!$F$34:$F$57,0),1)&amp;"-K: LDNO margins"</f>
        <v>Section 118-K: LDNO margins</v>
      </c>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row>
    <row r="191" spans="3:27" x14ac:dyDescent="0.25">
      <c r="C191" s="88"/>
      <c r="D191" s="2"/>
      <c r="E191" s="2"/>
      <c r="G191" s="13"/>
    </row>
    <row r="192" spans="3:27" x14ac:dyDescent="0.25">
      <c r="C192" s="88"/>
      <c r="D192" s="2" t="s">
        <v>904</v>
      </c>
      <c r="E192" s="2"/>
      <c r="G192" s="13"/>
    </row>
    <row r="193" spans="2:27" x14ac:dyDescent="0.25">
      <c r="D193" s="32"/>
      <c r="G193" s="13"/>
      <c r="H193" s="128"/>
      <c r="J193" s="63"/>
      <c r="K193" s="63"/>
      <c r="L193" s="63"/>
      <c r="M193" s="63"/>
      <c r="N193" s="63"/>
      <c r="O193" s="63"/>
      <c r="P193" s="63"/>
      <c r="Q193" s="63"/>
      <c r="R193" s="63"/>
      <c r="S193" s="63"/>
      <c r="T193" s="63"/>
      <c r="U193" s="63"/>
      <c r="V193" s="63"/>
      <c r="W193" s="63"/>
      <c r="X193" s="63"/>
      <c r="Y193" s="63"/>
    </row>
    <row r="194" spans="2:27" x14ac:dyDescent="0.25">
      <c r="C194" s="88"/>
      <c r="D194" s="2"/>
      <c r="E194" t="s">
        <v>905</v>
      </c>
      <c r="G194" s="28" t="s">
        <v>167</v>
      </c>
      <c r="J194" s="111">
        <f t="shared" ref="J194:K194" si="329">IF( AND( ISNUMBER(J$128), J$128 &lt;&gt; 0), ( J$128 - J177 ) / J$128, "")</f>
        <v>0.29132805614112905</v>
      </c>
      <c r="K194" s="111">
        <f t="shared" si="329"/>
        <v>0.29474927853266547</v>
      </c>
      <c r="L194" s="111">
        <f t="shared" ref="L194:M194" si="330">IF( AND( ISNUMBER(L$128), L$128 &lt;&gt; 0), ( L$128 - L177 ) / L$128, "")</f>
        <v>0.29386134992315011</v>
      </c>
      <c r="M194" s="111">
        <f t="shared" si="330"/>
        <v>0.29476257035654607</v>
      </c>
      <c r="N194" s="111">
        <f t="shared" ref="N194:P194" si="331">IF( AND( ISNUMBER(N$128), N$128 &lt;&gt; 0), ( N$128 - N177 ) / N$128, "")</f>
        <v>0.29439307796705466</v>
      </c>
      <c r="O194" s="111">
        <f t="shared" si="331"/>
        <v>1</v>
      </c>
      <c r="P194" s="111">
        <f t="shared" si="331"/>
        <v>1</v>
      </c>
      <c r="Q194" s="111">
        <f t="shared" ref="Q194:S194" si="332">IF( AND( ISNUMBER(Q$128), Q$128 &lt;&gt; 0), ( Q$128 - Q177 ) / Q$128, "")</f>
        <v>0.29475476417017105</v>
      </c>
      <c r="R194" s="111">
        <f t="shared" si="332"/>
        <v>0</v>
      </c>
      <c r="S194" s="111">
        <f t="shared" si="332"/>
        <v>1</v>
      </c>
      <c r="T194" s="111">
        <f t="shared" ref="T194:U194" si="333">IF( AND( ISNUMBER(T$128), T$128 &lt;&gt; 0), ( T$128 - T177 ) / T$128, "")</f>
        <v>-1.3410266908521526E-16</v>
      </c>
      <c r="U194" s="111" t="str">
        <f t="shared" si="333"/>
        <v/>
      </c>
      <c r="V194" s="111">
        <f t="shared" ref="V194:W194" si="334">IF( AND( ISNUMBER(V$128), V$128 &lt;&gt; 0), ( V$128 - V177 ) / V$128, "")</f>
        <v>1</v>
      </c>
      <c r="W194" s="111" t="str">
        <f t="shared" si="334"/>
        <v/>
      </c>
      <c r="X194" s="111">
        <f t="shared" ref="X194:Y194" si="335">IF( AND( ISNUMBER(X$128), X$128 &lt;&gt; 0), ( X$128 - X177 ) / X$128, "")</f>
        <v>1</v>
      </c>
      <c r="Y194" s="111" t="str">
        <f t="shared" si="335"/>
        <v/>
      </c>
    </row>
    <row r="195" spans="2:27" x14ac:dyDescent="0.25">
      <c r="C195" s="88"/>
      <c r="D195" s="2"/>
      <c r="E195" t="s">
        <v>906</v>
      </c>
      <c r="G195" s="28" t="s">
        <v>167</v>
      </c>
      <c r="J195" s="111">
        <f t="shared" ref="J195:K195" si="336">IF( AND( ISNUMBER(J$128), J$128 &lt;&gt; 0), ( J$128 - J188 ) / J$128, "")</f>
        <v>0.54161933913506899</v>
      </c>
      <c r="K195" s="111">
        <f t="shared" si="336"/>
        <v>0.54817878619781313</v>
      </c>
      <c r="L195" s="111">
        <f t="shared" ref="L195:M195" si="337">IF( AND( ISNUMBER(L$128), L$128 &lt;&gt; 0), ( L$128 - L188 ) / L$128, "")</f>
        <v>0.54644986852403366</v>
      </c>
      <c r="M195" s="111">
        <f t="shared" si="337"/>
        <v>0.54821815022581699</v>
      </c>
      <c r="N195" s="111">
        <f t="shared" ref="N195:P195" si="338">IF( AND( ISNUMBER(N$128), N$128 &lt;&gt; 0), ( N$128 - N188 ) / N$128, "")</f>
        <v>0.54820901386670351</v>
      </c>
      <c r="O195" s="111">
        <f t="shared" si="338"/>
        <v>0.34460926596815339</v>
      </c>
      <c r="P195" s="111">
        <f t="shared" si="338"/>
        <v>0.28275019188695977</v>
      </c>
      <c r="Q195" s="111">
        <f t="shared" ref="Q195:S195" si="339">IF( AND( ISNUMBER(Q$128), Q$128 &lt;&gt; 0), ( Q$128 - Q188 ) / Q$128, "")</f>
        <v>0.54811994074639026</v>
      </c>
      <c r="R195" s="111">
        <f t="shared" si="339"/>
        <v>0</v>
      </c>
      <c r="S195" s="111">
        <f t="shared" si="339"/>
        <v>0</v>
      </c>
      <c r="T195" s="111">
        <f t="shared" ref="T195:U195" si="340">IF( AND( ISNUMBER(T$128), T$128 &lt;&gt; 0), ( T$128 - T188 ) / T$128, "")</f>
        <v>-1.3410266908521526E-16</v>
      </c>
      <c r="U195" s="111" t="str">
        <f t="shared" si="340"/>
        <v/>
      </c>
      <c r="V195" s="111">
        <f t="shared" ref="V195:W195" si="341">IF( AND( ISNUMBER(V$128), V$128 &lt;&gt; 0), ( V$128 - V188 ) / V$128, "")</f>
        <v>-1.646227485730073E-16</v>
      </c>
      <c r="W195" s="111" t="str">
        <f t="shared" si="341"/>
        <v/>
      </c>
      <c r="X195" s="111">
        <f t="shared" ref="X195:Y195" si="342">IF( AND( ISNUMBER(X$128), X$128 &lt;&gt; 0), ( X$128 - X188 ) / X$128, "")</f>
        <v>-6.31612501633316E-2</v>
      </c>
      <c r="Y195" s="111" t="str">
        <f t="shared" si="342"/>
        <v/>
      </c>
    </row>
    <row r="196" spans="2:27" x14ac:dyDescent="0.25">
      <c r="C196" s="88"/>
      <c r="D196" s="2"/>
      <c r="E196" s="2"/>
      <c r="F196" s="102"/>
      <c r="G196" s="102"/>
    </row>
    <row r="197" spans="2:27" x14ac:dyDescent="0.25">
      <c r="B197" s="30" t="s">
        <v>231</v>
      </c>
      <c r="C197" s="30"/>
      <c r="D197" s="30"/>
      <c r="E197" s="30"/>
      <c r="F197" s="30"/>
      <c r="G197" s="92"/>
      <c r="H197" s="30"/>
      <c r="I197" s="30"/>
      <c r="J197" s="30"/>
      <c r="K197" s="30"/>
      <c r="L197" s="30"/>
      <c r="M197" s="30"/>
      <c r="N197" s="30"/>
      <c r="O197" s="30"/>
      <c r="P197" s="30"/>
      <c r="Q197" s="30"/>
      <c r="R197" s="30"/>
      <c r="S197" s="30"/>
      <c r="T197" s="30"/>
      <c r="U197" s="30"/>
      <c r="V197" s="30"/>
      <c r="W197" s="30"/>
      <c r="X197" s="30"/>
      <c r="Y197" s="30"/>
      <c r="Z197" s="30"/>
      <c r="AA197" s="30"/>
    </row>
    <row r="198" spans="2:27" x14ac:dyDescent="0.25">
      <c r="F198" s="3"/>
      <c r="G198" s="216"/>
      <c r="H198" s="3"/>
      <c r="I198" s="3"/>
    </row>
    <row r="199" spans="2:27" x14ac:dyDescent="0.25">
      <c r="D199" t="s">
        <v>232</v>
      </c>
      <c r="G199" s="6" t="s">
        <v>55</v>
      </c>
      <c r="H199" s="26">
        <f t="array" ref="H199">SUM(IF(ISERROR($H$13:$Z$195), 1))</f>
        <v>0</v>
      </c>
      <c r="I199" s="3"/>
    </row>
    <row r="200" spans="2:27" x14ac:dyDescent="0.25">
      <c r="F200" s="3"/>
      <c r="G200" s="3"/>
      <c r="H200" s="3"/>
      <c r="I200" s="3"/>
    </row>
    <row r="201" spans="2:27" x14ac:dyDescent="0.25">
      <c r="B201" s="30" t="s">
        <v>106</v>
      </c>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row>
  </sheetData>
  <sheetProtection sheet="1" objects="1" formatCells="0" formatColumns="0" formatRows="0" sort="0" autoFilter="0"/>
  <conditionalFormatting sqref="H199">
    <cfRule type="cellIs" dxfId="13" priority="23" operator="greaterThan">
      <formula>0</formula>
    </cfRule>
  </conditionalFormatting>
  <conditionalFormatting sqref="A4:I4 Z4:XFD4">
    <cfRule type="expression" dxfId="12" priority="9">
      <formula>LEFT($A$4,1) &lt;&gt; "0"</formula>
    </cfRule>
  </conditionalFormatting>
  <conditionalFormatting sqref="N4:P4">
    <cfRule type="expression" dxfId="11" priority="8">
      <formula>LEFT($A$4,1) &lt;&gt; "0"</formula>
    </cfRule>
  </conditionalFormatting>
  <conditionalFormatting sqref="L4:M4">
    <cfRule type="expression" dxfId="10" priority="7">
      <formula>LEFT($A$4,1) &lt;&gt; "0"</formula>
    </cfRule>
  </conditionalFormatting>
  <conditionalFormatting sqref="J4:K4">
    <cfRule type="expression" dxfId="9" priority="6">
      <formula>LEFT($A$4,1) &lt;&gt; "0"</formula>
    </cfRule>
  </conditionalFormatting>
  <conditionalFormatting sqref="Q4">
    <cfRule type="expression" dxfId="8" priority="5">
      <formula>LEFT($A$4,1) &lt;&gt; "0"</formula>
    </cfRule>
  </conditionalFormatting>
  <conditionalFormatting sqref="R4:S4">
    <cfRule type="expression" dxfId="7" priority="4">
      <formula>LEFT($A$4,1) &lt;&gt; "0"</formula>
    </cfRule>
  </conditionalFormatting>
  <conditionalFormatting sqref="T4:U4">
    <cfRule type="expression" dxfId="6" priority="3">
      <formula>LEFT($A$4,1) &lt;&gt; "0"</formula>
    </cfRule>
  </conditionalFormatting>
  <conditionalFormatting sqref="V4:W4">
    <cfRule type="expression" dxfId="5" priority="2">
      <formula>LEFT($A$4,1) &lt;&gt; "0"</formula>
    </cfRule>
  </conditionalFormatting>
  <conditionalFormatting sqref="X4:Y4">
    <cfRule type="expression" dxfId="4"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16:Y40 J157:Y157 J150:Y150 J45:Y69" xr:uid="{00000000-0002-0000-1A00-000000000000}">
      <formula1>0</formula1>
    </dataValidation>
    <dataValidation allowBlank="1" sqref="J143:Y149 J158:Y158 J156:Y156" xr:uid="{00000000-0002-0000-1A00-000001000000}"/>
  </dataValidations>
  <hyperlinks>
    <hyperlink ref="B5:F5" location="'Model map'!A1" display="Click here to return to model map"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tabColor theme="9" tint="0.39997558519241921"/>
    <pageSetUpPr fitToPage="1"/>
  </sheetPr>
  <dimension ref="A1:JV7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2" width="24.5703125" hidden="1" customWidth="1"/>
    <col min="283" max="16384" width="8.5703125" hidden="1"/>
  </cols>
  <sheetData>
    <row r="1" spans="1:44" s="1" customFormat="1" x14ac:dyDescent="0.25">
      <c r="A1" s="1" t="str">
        <f ca="1">MID(CELL("filename",A1),FIND("]",CELL("filename",A1))+1,255)</f>
        <v>Tariff summary</v>
      </c>
    </row>
    <row r="2" spans="1:44" s="1" customFormat="1" x14ac:dyDescent="0.25">
      <c r="A2" s="1" t="str">
        <f>Cover!D21&amp;" - "&amp;Cover!D23</f>
        <v xml:space="preserve">SHEPD  - Final </v>
      </c>
    </row>
    <row r="3" spans="1:44" s="5" customFormat="1" x14ac:dyDescent="0.25">
      <c r="A3" s="5" t="str">
        <f>Cover!D2&amp;" - "&amp;Cover!D8&amp;" v"&amp;Cover!D10&amp;" - "&amp;Cover!D19</f>
        <v>CDCM charging model - Release for charge setting v5 - 2021/22</v>
      </c>
    </row>
    <row r="4" spans="1:44" x14ac:dyDescent="0.25">
      <c r="A4" s="12" t="str">
        <f>H71 &amp; IF(H71 = 1, " issue", " issues") &amp;" identified in checks on this sheet"</f>
        <v>0 issues identified in checks on this sheet</v>
      </c>
      <c r="B4" s="13"/>
      <c r="C4" s="13"/>
      <c r="D4" s="13"/>
      <c r="E4" s="13"/>
      <c r="F4" s="13"/>
      <c r="G4" s="13"/>
      <c r="H4" s="14"/>
      <c r="I4" s="14"/>
      <c r="J4" s="13"/>
    </row>
    <row r="5" spans="1:44" ht="45" x14ac:dyDescent="0.25">
      <c r="B5" s="59" t="s">
        <v>142</v>
      </c>
      <c r="C5" s="60"/>
      <c r="D5" s="60"/>
      <c r="E5" s="60"/>
      <c r="F5" s="60"/>
      <c r="G5" s="61"/>
      <c r="H5" s="61" t="s">
        <v>907</v>
      </c>
      <c r="J5" s="62" t="s">
        <v>908</v>
      </c>
      <c r="K5" s="62" t="s">
        <v>909</v>
      </c>
      <c r="L5" s="62" t="s">
        <v>910</v>
      </c>
      <c r="M5" s="62" t="s">
        <v>911</v>
      </c>
      <c r="N5" s="62" t="s">
        <v>912</v>
      </c>
      <c r="O5" s="62" t="s">
        <v>913</v>
      </c>
      <c r="P5" s="62" t="s">
        <v>914</v>
      </c>
      <c r="R5" s="61" t="s">
        <v>145</v>
      </c>
    </row>
    <row r="7" spans="1:44"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915</v>
      </c>
    </row>
    <row r="11" spans="1:44" x14ac:dyDescent="0.25">
      <c r="B11" s="30" t="s">
        <v>96</v>
      </c>
      <c r="C11" s="30"/>
      <c r="D11" s="30"/>
      <c r="E11" s="30"/>
      <c r="F11" s="30"/>
      <c r="G11" s="30"/>
      <c r="H11" s="30"/>
      <c r="I11" s="30"/>
      <c r="J11" s="30"/>
      <c r="K11" s="30"/>
      <c r="L11" s="105"/>
      <c r="M11" s="105"/>
      <c r="N11" s="105"/>
      <c r="O11" s="105"/>
      <c r="P11" s="105"/>
      <c r="Q11" s="105"/>
      <c r="R11" s="105"/>
    </row>
    <row r="12" spans="1:44" x14ac:dyDescent="0.25">
      <c r="D12"/>
      <c r="E12"/>
    </row>
    <row r="13" spans="1:44" x14ac:dyDescent="0.25">
      <c r="C13" s="31" t="str">
        <f>"Output 101-A: Tariffs for "&amp; charging_year</f>
        <v>Output 101-A: Tariffs for 2021/22</v>
      </c>
      <c r="D13" s="31"/>
      <c r="E13" s="31"/>
      <c r="F13" s="31"/>
      <c r="G13" s="31"/>
      <c r="H13" s="31"/>
      <c r="I13" s="31"/>
      <c r="J13" s="31"/>
      <c r="K13" s="31"/>
      <c r="L13" s="31"/>
      <c r="M13" s="31"/>
      <c r="N13" s="31"/>
      <c r="O13" s="31"/>
      <c r="P13" s="31"/>
      <c r="Q13" s="31"/>
      <c r="R13" s="31"/>
    </row>
    <row r="14" spans="1:44" x14ac:dyDescent="0.25">
      <c r="D14"/>
      <c r="E14"/>
    </row>
    <row r="15" spans="1:44" x14ac:dyDescent="0.25">
      <c r="D15" s="32"/>
      <c r="E15" s="32" t="s">
        <v>916</v>
      </c>
    </row>
    <row r="16" spans="1:44" x14ac:dyDescent="0.25">
      <c r="F16" s="23" t="s">
        <v>940</v>
      </c>
      <c r="G16" s="23"/>
      <c r="H16" s="23" t="s">
        <v>884</v>
      </c>
      <c r="I16" s="23"/>
      <c r="J16" s="224">
        <f t="array" ref="J16:P31">TRANSPOSE(Rounding!J130:Y136)</f>
        <v>11.164999999999999</v>
      </c>
      <c r="K16" s="224">
        <v>2.8660000000000001</v>
      </c>
      <c r="L16" s="224">
        <v>2.0430000000000001</v>
      </c>
      <c r="M16" s="225">
        <v>7.11</v>
      </c>
      <c r="N16" s="225">
        <v>0</v>
      </c>
      <c r="O16" s="225">
        <v>0</v>
      </c>
      <c r="P16" s="224">
        <v>0</v>
      </c>
    </row>
    <row r="17" spans="6:16" x14ac:dyDescent="0.25">
      <c r="F17" t="s">
        <v>942</v>
      </c>
      <c r="H17" t="s">
        <v>884</v>
      </c>
      <c r="J17" s="226">
        <v>11.164999999999999</v>
      </c>
      <c r="K17" s="226">
        <v>2.8660000000000001</v>
      </c>
      <c r="L17" s="226">
        <v>2.0430000000000001</v>
      </c>
      <c r="M17" s="227">
        <v>0</v>
      </c>
      <c r="N17" s="227">
        <v>0</v>
      </c>
      <c r="O17" s="227">
        <v>0</v>
      </c>
      <c r="P17" s="226">
        <v>0</v>
      </c>
    </row>
    <row r="18" spans="6:16" x14ac:dyDescent="0.25">
      <c r="F18" t="s">
        <v>941</v>
      </c>
      <c r="H18" t="s">
        <v>884</v>
      </c>
      <c r="J18" s="226">
        <v>11.6</v>
      </c>
      <c r="K18" s="226">
        <v>2.9329999999999998</v>
      </c>
      <c r="L18" s="226">
        <v>2.0739999999999998</v>
      </c>
      <c r="M18" s="227">
        <v>9.98</v>
      </c>
      <c r="N18" s="227">
        <v>0</v>
      </c>
      <c r="O18" s="227">
        <v>0</v>
      </c>
      <c r="P18" s="226">
        <v>0</v>
      </c>
    </row>
    <row r="19" spans="6:16" x14ac:dyDescent="0.25">
      <c r="F19" t="s">
        <v>943</v>
      </c>
      <c r="H19" t="s">
        <v>884</v>
      </c>
      <c r="J19" s="226">
        <v>11.6</v>
      </c>
      <c r="K19" s="226">
        <v>2.9329999999999998</v>
      </c>
      <c r="L19" s="226">
        <v>2.0739999999999998</v>
      </c>
      <c r="M19" s="227">
        <v>0</v>
      </c>
      <c r="N19" s="227">
        <v>0</v>
      </c>
      <c r="O19" s="227">
        <v>0</v>
      </c>
      <c r="P19" s="226">
        <v>0</v>
      </c>
    </row>
    <row r="20" spans="6:16" x14ac:dyDescent="0.25">
      <c r="F20" t="s">
        <v>949</v>
      </c>
      <c r="H20" t="s">
        <v>884</v>
      </c>
      <c r="J20" s="226">
        <v>9.0749999999999993</v>
      </c>
      <c r="K20" s="226">
        <v>2.5339999999999998</v>
      </c>
      <c r="L20" s="226">
        <v>1.8879999999999999</v>
      </c>
      <c r="M20" s="227">
        <v>30.03</v>
      </c>
      <c r="N20" s="227">
        <v>5.14</v>
      </c>
      <c r="O20" s="227">
        <v>9.18</v>
      </c>
      <c r="P20" s="226">
        <v>0.27300000000000002</v>
      </c>
    </row>
    <row r="21" spans="6:16" x14ac:dyDescent="0.25">
      <c r="F21" t="s">
        <v>950</v>
      </c>
      <c r="H21" t="s">
        <v>884</v>
      </c>
      <c r="J21" s="226">
        <v>5.2619999999999996</v>
      </c>
      <c r="K21" s="226">
        <v>1.93</v>
      </c>
      <c r="L21" s="226">
        <v>1.607</v>
      </c>
      <c r="M21" s="227">
        <v>55.26</v>
      </c>
      <c r="N21" s="227">
        <v>8.33</v>
      </c>
      <c r="O21" s="227">
        <v>11.39</v>
      </c>
      <c r="P21" s="226">
        <v>0.127</v>
      </c>
    </row>
    <row r="22" spans="6:16" x14ac:dyDescent="0.25">
      <c r="F22" t="s">
        <v>951</v>
      </c>
      <c r="H22" t="s">
        <v>884</v>
      </c>
      <c r="J22" s="226">
        <v>4.0869999999999997</v>
      </c>
      <c r="K22" s="226">
        <v>1.7410000000000001</v>
      </c>
      <c r="L22" s="226">
        <v>1.518</v>
      </c>
      <c r="M22" s="227">
        <v>307.69</v>
      </c>
      <c r="N22" s="227">
        <v>11.11</v>
      </c>
      <c r="O22" s="227">
        <v>13.03</v>
      </c>
      <c r="P22" s="226">
        <v>8.8999999999999996E-2</v>
      </c>
    </row>
    <row r="23" spans="6:16" x14ac:dyDescent="0.25">
      <c r="F23" t="s">
        <v>952</v>
      </c>
      <c r="H23" t="s">
        <v>884</v>
      </c>
      <c r="J23" s="226">
        <v>23.361999999999998</v>
      </c>
      <c r="K23" s="226">
        <v>5.1189999999999998</v>
      </c>
      <c r="L23" s="226">
        <v>4.109</v>
      </c>
      <c r="M23" s="227">
        <v>0</v>
      </c>
      <c r="N23" s="227">
        <v>0</v>
      </c>
      <c r="O23" s="227">
        <v>0</v>
      </c>
      <c r="P23" s="226">
        <v>0</v>
      </c>
    </row>
    <row r="24" spans="6:16" x14ac:dyDescent="0.25">
      <c r="F24" t="s">
        <v>944</v>
      </c>
      <c r="H24" t="s">
        <v>884</v>
      </c>
      <c r="J24" s="226">
        <v>-7.04</v>
      </c>
      <c r="K24" s="226">
        <v>-1.0900000000000001</v>
      </c>
      <c r="L24" s="226">
        <v>-0.501</v>
      </c>
      <c r="M24" s="227">
        <v>0</v>
      </c>
      <c r="N24" s="227">
        <v>0</v>
      </c>
      <c r="O24" s="227">
        <v>0</v>
      </c>
      <c r="P24" s="226">
        <v>0</v>
      </c>
    </row>
    <row r="25" spans="6:16" x14ac:dyDescent="0.25">
      <c r="F25" t="s">
        <v>945</v>
      </c>
      <c r="H25" t="s">
        <v>884</v>
      </c>
      <c r="J25" s="226">
        <v>-6.3179999999999996</v>
      </c>
      <c r="K25" s="226">
        <v>-0.97499999999999998</v>
      </c>
      <c r="L25" s="226">
        <v>-0.44700000000000001</v>
      </c>
      <c r="M25" s="227">
        <v>0</v>
      </c>
      <c r="N25" s="227">
        <v>0</v>
      </c>
      <c r="O25" s="227">
        <v>0</v>
      </c>
      <c r="P25" s="226">
        <v>0</v>
      </c>
    </row>
    <row r="26" spans="6:16" x14ac:dyDescent="0.25">
      <c r="F26" t="s">
        <v>946</v>
      </c>
      <c r="H26" t="s">
        <v>884</v>
      </c>
      <c r="J26" s="226">
        <v>-7.04</v>
      </c>
      <c r="K26" s="226">
        <v>-1.0900000000000001</v>
      </c>
      <c r="L26" s="226">
        <v>-0.501</v>
      </c>
      <c r="M26" s="227">
        <v>0</v>
      </c>
      <c r="N26" s="227">
        <v>0</v>
      </c>
      <c r="O26" s="227">
        <v>0</v>
      </c>
      <c r="P26" s="226">
        <v>0.26400000000000001</v>
      </c>
    </row>
    <row r="27" spans="6:16" x14ac:dyDescent="0.25">
      <c r="F27" t="s">
        <v>955</v>
      </c>
      <c r="H27" t="s">
        <v>884</v>
      </c>
      <c r="J27" s="226">
        <v>-7.04</v>
      </c>
      <c r="K27" s="226">
        <v>-1.0900000000000001</v>
      </c>
      <c r="L27" s="226">
        <v>-0.501</v>
      </c>
      <c r="M27" s="227">
        <v>0</v>
      </c>
      <c r="N27" s="227">
        <v>0</v>
      </c>
      <c r="O27" s="227">
        <v>0</v>
      </c>
      <c r="P27" s="226">
        <v>0</v>
      </c>
    </row>
    <row r="28" spans="6:16" x14ac:dyDescent="0.25">
      <c r="F28" t="s">
        <v>947</v>
      </c>
      <c r="H28" t="s">
        <v>884</v>
      </c>
      <c r="J28" s="226">
        <v>-6.3179999999999996</v>
      </c>
      <c r="K28" s="226">
        <v>-0.97499999999999998</v>
      </c>
      <c r="L28" s="226">
        <v>-0.44700000000000001</v>
      </c>
      <c r="M28" s="227">
        <v>0</v>
      </c>
      <c r="N28" s="227">
        <v>0</v>
      </c>
      <c r="O28" s="227">
        <v>0</v>
      </c>
      <c r="P28" s="226">
        <v>0.222</v>
      </c>
    </row>
    <row r="29" spans="6:16" x14ac:dyDescent="0.25">
      <c r="F29" t="s">
        <v>954</v>
      </c>
      <c r="H29" t="s">
        <v>884</v>
      </c>
      <c r="J29" s="226">
        <v>-6.3179999999999996</v>
      </c>
      <c r="K29" s="226">
        <v>-0.97499999999999998</v>
      </c>
      <c r="L29" s="226">
        <v>-0.44700000000000001</v>
      </c>
      <c r="M29" s="227">
        <v>0</v>
      </c>
      <c r="N29" s="227">
        <v>0</v>
      </c>
      <c r="O29" s="227">
        <v>0</v>
      </c>
      <c r="P29" s="226">
        <v>0</v>
      </c>
    </row>
    <row r="30" spans="6:16" x14ac:dyDescent="0.25">
      <c r="F30" t="s">
        <v>948</v>
      </c>
      <c r="H30" t="s">
        <v>884</v>
      </c>
      <c r="J30" s="226">
        <v>-3.46</v>
      </c>
      <c r="K30" s="226">
        <v>-0.51700000000000002</v>
      </c>
      <c r="L30" s="226">
        <v>-0.23100000000000001</v>
      </c>
      <c r="M30" s="227">
        <v>498.33</v>
      </c>
      <c r="N30" s="227">
        <v>0</v>
      </c>
      <c r="O30" s="227">
        <v>0</v>
      </c>
      <c r="P30" s="226">
        <v>0.20300000000000001</v>
      </c>
    </row>
    <row r="31" spans="6:16" x14ac:dyDescent="0.25">
      <c r="F31" s="37" t="s">
        <v>953</v>
      </c>
      <c r="G31" s="37"/>
      <c r="H31" s="37" t="s">
        <v>884</v>
      </c>
      <c r="I31" s="37"/>
      <c r="J31" s="228">
        <v>-3.46</v>
      </c>
      <c r="K31" s="228">
        <v>-0.51700000000000002</v>
      </c>
      <c r="L31" s="228">
        <v>-0.23100000000000001</v>
      </c>
      <c r="M31" s="229">
        <v>498.33</v>
      </c>
      <c r="N31" s="229">
        <v>0</v>
      </c>
      <c r="O31" s="229">
        <v>0</v>
      </c>
      <c r="P31" s="228">
        <v>0</v>
      </c>
    </row>
    <row r="32" spans="6:16" x14ac:dyDescent="0.25">
      <c r="F32" s="2"/>
      <c r="J32" s="14"/>
      <c r="K32" s="14"/>
      <c r="L32" s="14"/>
      <c r="M32" s="230"/>
      <c r="N32" s="230"/>
      <c r="O32" s="230"/>
      <c r="P32" s="14"/>
    </row>
    <row r="33" spans="4:16" x14ac:dyDescent="0.25">
      <c r="D33" s="32"/>
      <c r="E33" s="32" t="s">
        <v>917</v>
      </c>
      <c r="F33" s="2"/>
      <c r="J33" s="14"/>
      <c r="K33" s="14"/>
      <c r="L33" s="14"/>
      <c r="M33" s="230"/>
      <c r="N33" s="230"/>
      <c r="O33" s="230"/>
      <c r="P33" s="14"/>
    </row>
    <row r="34" spans="4:16" x14ac:dyDescent="0.25">
      <c r="F34" s="23" t="s">
        <v>940</v>
      </c>
      <c r="G34" s="23"/>
      <c r="H34" s="23" t="s">
        <v>448</v>
      </c>
      <c r="I34" s="23"/>
      <c r="J34" s="224">
        <f t="array" ref="J34:P49">TRANSPOSE(Rounding!J139:Y145)</f>
        <v>7.8739999999999997</v>
      </c>
      <c r="K34" s="224">
        <v>2.0209999999999999</v>
      </c>
      <c r="L34" s="224">
        <v>1.4410000000000001</v>
      </c>
      <c r="M34" s="225">
        <v>5.16</v>
      </c>
      <c r="N34" s="225">
        <v>0</v>
      </c>
      <c r="O34" s="225">
        <v>0</v>
      </c>
      <c r="P34" s="224">
        <v>0</v>
      </c>
    </row>
    <row r="35" spans="4:16" x14ac:dyDescent="0.25">
      <c r="F35" t="s">
        <v>942</v>
      </c>
      <c r="H35" t="s">
        <v>448</v>
      </c>
      <c r="J35" s="226">
        <v>7.8739999999999997</v>
      </c>
      <c r="K35" s="226">
        <v>2.0209999999999999</v>
      </c>
      <c r="L35" s="226">
        <v>1.4410000000000001</v>
      </c>
      <c r="M35" s="227">
        <v>0</v>
      </c>
      <c r="N35" s="227">
        <v>0</v>
      </c>
      <c r="O35" s="227">
        <v>0</v>
      </c>
      <c r="P35" s="226">
        <v>0</v>
      </c>
    </row>
    <row r="36" spans="4:16" x14ac:dyDescent="0.25">
      <c r="F36" t="s">
        <v>941</v>
      </c>
      <c r="H36" t="s">
        <v>448</v>
      </c>
      <c r="J36" s="226">
        <v>8.1809999999999992</v>
      </c>
      <c r="K36" s="226">
        <v>2.0680000000000001</v>
      </c>
      <c r="L36" s="226">
        <v>1.4630000000000001</v>
      </c>
      <c r="M36" s="227">
        <v>7.17</v>
      </c>
      <c r="N36" s="227">
        <v>0</v>
      </c>
      <c r="O36" s="227">
        <v>0</v>
      </c>
      <c r="P36" s="226">
        <v>0</v>
      </c>
    </row>
    <row r="37" spans="4:16" x14ac:dyDescent="0.25">
      <c r="F37" t="s">
        <v>943</v>
      </c>
      <c r="H37" t="s">
        <v>448</v>
      </c>
      <c r="J37" s="226">
        <v>8.1809999999999992</v>
      </c>
      <c r="K37" s="226">
        <v>2.0680000000000001</v>
      </c>
      <c r="L37" s="226">
        <v>1.4630000000000001</v>
      </c>
      <c r="M37" s="227">
        <v>0</v>
      </c>
      <c r="N37" s="227">
        <v>0</v>
      </c>
      <c r="O37" s="227">
        <v>0</v>
      </c>
      <c r="P37" s="226">
        <v>0</v>
      </c>
    </row>
    <row r="38" spans="4:16" x14ac:dyDescent="0.25">
      <c r="F38" t="s">
        <v>949</v>
      </c>
      <c r="H38" t="s">
        <v>448</v>
      </c>
      <c r="J38" s="226">
        <v>6.4</v>
      </c>
      <c r="K38" s="226">
        <v>1.7869999999999999</v>
      </c>
      <c r="L38" s="226">
        <v>1.3320000000000001</v>
      </c>
      <c r="M38" s="227">
        <v>21.31</v>
      </c>
      <c r="N38" s="227">
        <v>3.63</v>
      </c>
      <c r="O38" s="227">
        <v>6.47</v>
      </c>
      <c r="P38" s="226">
        <v>0.193</v>
      </c>
    </row>
    <row r="39" spans="4:16" x14ac:dyDescent="0.25">
      <c r="F39" t="s">
        <v>950</v>
      </c>
      <c r="H39" t="s">
        <v>448</v>
      </c>
      <c r="J39" s="231">
        <v>0</v>
      </c>
      <c r="K39" s="231">
        <v>0</v>
      </c>
      <c r="L39" s="231">
        <v>0</v>
      </c>
      <c r="M39" s="231">
        <v>0</v>
      </c>
      <c r="N39" s="231">
        <v>0</v>
      </c>
      <c r="O39" s="231">
        <v>0</v>
      </c>
      <c r="P39" s="231">
        <v>0</v>
      </c>
    </row>
    <row r="40" spans="4:16" x14ac:dyDescent="0.25">
      <c r="F40" t="s">
        <v>951</v>
      </c>
      <c r="H40" t="s">
        <v>448</v>
      </c>
      <c r="J40" s="231">
        <v>0</v>
      </c>
      <c r="K40" s="231">
        <v>0</v>
      </c>
      <c r="L40" s="231">
        <v>0</v>
      </c>
      <c r="M40" s="231">
        <v>0</v>
      </c>
      <c r="N40" s="231">
        <v>0</v>
      </c>
      <c r="O40" s="231">
        <v>0</v>
      </c>
      <c r="P40" s="231">
        <v>0</v>
      </c>
    </row>
    <row r="41" spans="4:16" x14ac:dyDescent="0.25">
      <c r="F41" t="s">
        <v>952</v>
      </c>
      <c r="H41" t="s">
        <v>448</v>
      </c>
      <c r="J41" s="226">
        <v>16.475000000000001</v>
      </c>
      <c r="K41" s="226">
        <v>3.61</v>
      </c>
      <c r="L41" s="226">
        <v>2.8980000000000001</v>
      </c>
      <c r="M41" s="227">
        <v>0</v>
      </c>
      <c r="N41" s="227">
        <v>0</v>
      </c>
      <c r="O41" s="227">
        <v>0</v>
      </c>
      <c r="P41" s="226">
        <v>0</v>
      </c>
    </row>
    <row r="42" spans="4:16" x14ac:dyDescent="0.25">
      <c r="F42" t="s">
        <v>944</v>
      </c>
      <c r="H42" t="s">
        <v>448</v>
      </c>
      <c r="J42" s="226">
        <v>-7.04</v>
      </c>
      <c r="K42" s="226">
        <v>-1.0900000000000001</v>
      </c>
      <c r="L42" s="226">
        <v>-0.501</v>
      </c>
      <c r="M42" s="227">
        <v>0</v>
      </c>
      <c r="N42" s="227">
        <v>0</v>
      </c>
      <c r="O42" s="227">
        <v>0</v>
      </c>
      <c r="P42" s="226">
        <v>0</v>
      </c>
    </row>
    <row r="43" spans="4:16" x14ac:dyDescent="0.25">
      <c r="F43" t="s">
        <v>945</v>
      </c>
      <c r="H43" t="s">
        <v>448</v>
      </c>
      <c r="J43" s="231">
        <v>0</v>
      </c>
      <c r="K43" s="231">
        <v>0</v>
      </c>
      <c r="L43" s="231">
        <v>0</v>
      </c>
      <c r="M43" s="231">
        <v>0</v>
      </c>
      <c r="N43" s="231">
        <v>0</v>
      </c>
      <c r="O43" s="231">
        <v>0</v>
      </c>
      <c r="P43" s="231">
        <v>0</v>
      </c>
    </row>
    <row r="44" spans="4:16" x14ac:dyDescent="0.25">
      <c r="F44" t="s">
        <v>946</v>
      </c>
      <c r="H44" t="s">
        <v>448</v>
      </c>
      <c r="J44" s="226">
        <v>-7.04</v>
      </c>
      <c r="K44" s="226">
        <v>-1.0900000000000001</v>
      </c>
      <c r="L44" s="226">
        <v>-0.501</v>
      </c>
      <c r="M44" s="227">
        <v>0</v>
      </c>
      <c r="N44" s="227">
        <v>0</v>
      </c>
      <c r="O44" s="227">
        <v>0</v>
      </c>
      <c r="P44" s="226">
        <v>0.26400000000000001</v>
      </c>
    </row>
    <row r="45" spans="4:16" x14ac:dyDescent="0.25">
      <c r="F45" t="s">
        <v>955</v>
      </c>
      <c r="H45" t="s">
        <v>448</v>
      </c>
      <c r="J45" s="231">
        <v>0</v>
      </c>
      <c r="K45" s="231">
        <v>0</v>
      </c>
      <c r="L45" s="231">
        <v>0</v>
      </c>
      <c r="M45" s="231">
        <v>0</v>
      </c>
      <c r="N45" s="231">
        <v>0</v>
      </c>
      <c r="O45" s="231">
        <v>0</v>
      </c>
      <c r="P45" s="231">
        <v>0</v>
      </c>
    </row>
    <row r="46" spans="4:16" x14ac:dyDescent="0.25">
      <c r="F46" t="s">
        <v>947</v>
      </c>
      <c r="H46" t="s">
        <v>448</v>
      </c>
      <c r="J46" s="231">
        <v>0</v>
      </c>
      <c r="K46" s="231">
        <v>0</v>
      </c>
      <c r="L46" s="231">
        <v>0</v>
      </c>
      <c r="M46" s="231">
        <v>0</v>
      </c>
      <c r="N46" s="231">
        <v>0</v>
      </c>
      <c r="O46" s="231">
        <v>0</v>
      </c>
      <c r="P46" s="231">
        <v>0</v>
      </c>
    </row>
    <row r="47" spans="4:16" x14ac:dyDescent="0.25">
      <c r="F47" t="s">
        <v>954</v>
      </c>
      <c r="H47" t="s">
        <v>448</v>
      </c>
      <c r="J47" s="231">
        <v>0</v>
      </c>
      <c r="K47" s="231">
        <v>0</v>
      </c>
      <c r="L47" s="231">
        <v>0</v>
      </c>
      <c r="M47" s="231">
        <v>0</v>
      </c>
      <c r="N47" s="231">
        <v>0</v>
      </c>
      <c r="O47" s="231">
        <v>0</v>
      </c>
      <c r="P47" s="231">
        <v>0</v>
      </c>
    </row>
    <row r="48" spans="4:16" x14ac:dyDescent="0.25">
      <c r="F48" t="s">
        <v>948</v>
      </c>
      <c r="H48" t="s">
        <v>448</v>
      </c>
      <c r="J48" s="231">
        <v>0</v>
      </c>
      <c r="K48" s="231">
        <v>0</v>
      </c>
      <c r="L48" s="231">
        <v>0</v>
      </c>
      <c r="M48" s="231">
        <v>0</v>
      </c>
      <c r="N48" s="231">
        <v>0</v>
      </c>
      <c r="O48" s="231">
        <v>0</v>
      </c>
      <c r="P48" s="231">
        <v>0</v>
      </c>
    </row>
    <row r="49" spans="4:16" x14ac:dyDescent="0.25">
      <c r="F49" s="37" t="s">
        <v>953</v>
      </c>
      <c r="G49" s="37"/>
      <c r="H49" s="37" t="s">
        <v>448</v>
      </c>
      <c r="I49" s="37"/>
      <c r="J49" s="232">
        <v>0</v>
      </c>
      <c r="K49" s="232">
        <v>0</v>
      </c>
      <c r="L49" s="232">
        <v>0</v>
      </c>
      <c r="M49" s="232">
        <v>0</v>
      </c>
      <c r="N49" s="232">
        <v>0</v>
      </c>
      <c r="O49" s="232">
        <v>0</v>
      </c>
      <c r="P49" s="232">
        <v>0</v>
      </c>
    </row>
    <row r="50" spans="4:16" x14ac:dyDescent="0.25">
      <c r="D50"/>
      <c r="E50"/>
      <c r="M50" s="233"/>
      <c r="N50" s="233"/>
      <c r="O50" s="233"/>
    </row>
    <row r="51" spans="4:16" x14ac:dyDescent="0.25">
      <c r="D51" s="32"/>
      <c r="E51" s="32" t="s">
        <v>918</v>
      </c>
      <c r="M51" s="233"/>
      <c r="N51" s="233"/>
      <c r="O51" s="233"/>
    </row>
    <row r="52" spans="4:16" x14ac:dyDescent="0.25">
      <c r="F52" s="23" t="s">
        <v>940</v>
      </c>
      <c r="G52" s="23"/>
      <c r="H52" s="23" t="s">
        <v>449</v>
      </c>
      <c r="I52" s="23"/>
      <c r="J52" s="224">
        <f t="array" ref="J52:P67">TRANSPOSE(Rounding!J148:Y154)</f>
        <v>5.0449999999999999</v>
      </c>
      <c r="K52" s="224">
        <v>1.2949999999999999</v>
      </c>
      <c r="L52" s="224">
        <v>0.92300000000000004</v>
      </c>
      <c r="M52" s="225">
        <v>3.49</v>
      </c>
      <c r="N52" s="225">
        <v>0</v>
      </c>
      <c r="O52" s="225">
        <v>0</v>
      </c>
      <c r="P52" s="224">
        <v>0</v>
      </c>
    </row>
    <row r="53" spans="4:16" x14ac:dyDescent="0.25">
      <c r="F53" t="s">
        <v>942</v>
      </c>
      <c r="H53" t="s">
        <v>449</v>
      </c>
      <c r="J53" s="226">
        <v>5.0449999999999999</v>
      </c>
      <c r="K53" s="226">
        <v>1.2949999999999999</v>
      </c>
      <c r="L53" s="226">
        <v>0.92300000000000004</v>
      </c>
      <c r="M53" s="227">
        <v>0</v>
      </c>
      <c r="N53" s="227">
        <v>0</v>
      </c>
      <c r="O53" s="227">
        <v>0</v>
      </c>
      <c r="P53" s="226">
        <v>0</v>
      </c>
    </row>
    <row r="54" spans="4:16" x14ac:dyDescent="0.25">
      <c r="F54" t="s">
        <v>941</v>
      </c>
      <c r="H54" t="s">
        <v>449</v>
      </c>
      <c r="J54" s="226">
        <v>5.2409999999999997</v>
      </c>
      <c r="K54" s="226">
        <v>1.325</v>
      </c>
      <c r="L54" s="226">
        <v>0.93700000000000006</v>
      </c>
      <c r="M54" s="227">
        <v>4.76</v>
      </c>
      <c r="N54" s="227">
        <v>0</v>
      </c>
      <c r="O54" s="227">
        <v>0</v>
      </c>
      <c r="P54" s="226">
        <v>0</v>
      </c>
    </row>
    <row r="55" spans="4:16" x14ac:dyDescent="0.25">
      <c r="F55" t="s">
        <v>943</v>
      </c>
      <c r="H55" t="s">
        <v>449</v>
      </c>
      <c r="J55" s="226">
        <v>5.2409999999999997</v>
      </c>
      <c r="K55" s="226">
        <v>1.325</v>
      </c>
      <c r="L55" s="226">
        <v>0.93700000000000006</v>
      </c>
      <c r="M55" s="227">
        <v>0</v>
      </c>
      <c r="N55" s="227">
        <v>0</v>
      </c>
      <c r="O55" s="227">
        <v>0</v>
      </c>
      <c r="P55" s="226">
        <v>0</v>
      </c>
    </row>
    <row r="56" spans="4:16" x14ac:dyDescent="0.25">
      <c r="F56" t="s">
        <v>949</v>
      </c>
      <c r="H56" t="s">
        <v>449</v>
      </c>
      <c r="J56" s="226">
        <v>4.0999999999999996</v>
      </c>
      <c r="K56" s="226">
        <v>1.145</v>
      </c>
      <c r="L56" s="226">
        <v>0.85299999999999998</v>
      </c>
      <c r="M56" s="227">
        <v>13.82</v>
      </c>
      <c r="N56" s="227">
        <v>2.3199999999999998</v>
      </c>
      <c r="O56" s="227">
        <v>4.1500000000000004</v>
      </c>
      <c r="P56" s="226">
        <v>0.123</v>
      </c>
    </row>
    <row r="57" spans="4:16" x14ac:dyDescent="0.25">
      <c r="F57" t="s">
        <v>950</v>
      </c>
      <c r="H57" t="s">
        <v>449</v>
      </c>
      <c r="J57" s="226">
        <v>3.448</v>
      </c>
      <c r="K57" s="226">
        <v>1.2649999999999999</v>
      </c>
      <c r="L57" s="226">
        <v>1.0529999999999999</v>
      </c>
      <c r="M57" s="227">
        <v>36.369999999999997</v>
      </c>
      <c r="N57" s="227">
        <v>5.46</v>
      </c>
      <c r="O57" s="227">
        <v>7.47</v>
      </c>
      <c r="P57" s="226">
        <v>8.3000000000000004E-2</v>
      </c>
    </row>
    <row r="58" spans="4:16" x14ac:dyDescent="0.25">
      <c r="F58" t="s">
        <v>951</v>
      </c>
      <c r="H58" t="s">
        <v>449</v>
      </c>
      <c r="J58" s="226">
        <v>2.931</v>
      </c>
      <c r="K58" s="226">
        <v>1.248</v>
      </c>
      <c r="L58" s="226">
        <v>1.089</v>
      </c>
      <c r="M58" s="227">
        <v>220.81</v>
      </c>
      <c r="N58" s="227">
        <v>7.97</v>
      </c>
      <c r="O58" s="227">
        <v>9.34</v>
      </c>
      <c r="P58" s="226">
        <v>6.4000000000000001E-2</v>
      </c>
    </row>
    <row r="59" spans="4:16" x14ac:dyDescent="0.25">
      <c r="F59" t="s">
        <v>952</v>
      </c>
      <c r="H59" t="s">
        <v>449</v>
      </c>
      <c r="J59" s="226">
        <v>10.555</v>
      </c>
      <c r="K59" s="226">
        <v>2.3130000000000002</v>
      </c>
      <c r="L59" s="226">
        <v>1.857</v>
      </c>
      <c r="M59" s="227">
        <v>0</v>
      </c>
      <c r="N59" s="227">
        <v>0</v>
      </c>
      <c r="O59" s="227">
        <v>0</v>
      </c>
      <c r="P59" s="226">
        <v>0</v>
      </c>
    </row>
    <row r="60" spans="4:16" x14ac:dyDescent="0.25">
      <c r="F60" t="s">
        <v>944</v>
      </c>
      <c r="H60" t="s">
        <v>449</v>
      </c>
      <c r="J60" s="226">
        <v>-7.04</v>
      </c>
      <c r="K60" s="226">
        <v>-1.0900000000000001</v>
      </c>
      <c r="L60" s="226">
        <v>-0.501</v>
      </c>
      <c r="M60" s="227">
        <v>0</v>
      </c>
      <c r="N60" s="227">
        <v>0</v>
      </c>
      <c r="O60" s="227">
        <v>0</v>
      </c>
      <c r="P60" s="226">
        <v>0</v>
      </c>
    </row>
    <row r="61" spans="4:16" x14ac:dyDescent="0.25">
      <c r="F61" t="s">
        <v>945</v>
      </c>
      <c r="H61" t="s">
        <v>449</v>
      </c>
      <c r="J61" s="226">
        <v>-6.3179999999999996</v>
      </c>
      <c r="K61" s="226">
        <v>-0.97499999999999998</v>
      </c>
      <c r="L61" s="226">
        <v>-0.44700000000000001</v>
      </c>
      <c r="M61" s="227">
        <v>0</v>
      </c>
      <c r="N61" s="227">
        <v>0</v>
      </c>
      <c r="O61" s="227">
        <v>0</v>
      </c>
      <c r="P61" s="226">
        <v>0</v>
      </c>
    </row>
    <row r="62" spans="4:16" x14ac:dyDescent="0.25">
      <c r="F62" t="s">
        <v>946</v>
      </c>
      <c r="H62" t="s">
        <v>449</v>
      </c>
      <c r="J62" s="226">
        <v>-7.04</v>
      </c>
      <c r="K62" s="226">
        <v>-1.0900000000000001</v>
      </c>
      <c r="L62" s="226">
        <v>-0.501</v>
      </c>
      <c r="M62" s="227">
        <v>0</v>
      </c>
      <c r="N62" s="227">
        <v>0</v>
      </c>
      <c r="O62" s="227">
        <v>0</v>
      </c>
      <c r="P62" s="226">
        <v>0.26400000000000001</v>
      </c>
    </row>
    <row r="63" spans="4:16" x14ac:dyDescent="0.25">
      <c r="F63" t="s">
        <v>955</v>
      </c>
      <c r="H63" t="s">
        <v>449</v>
      </c>
      <c r="J63" s="231">
        <v>0</v>
      </c>
      <c r="K63" s="231">
        <v>0</v>
      </c>
      <c r="L63" s="231">
        <v>0</v>
      </c>
      <c r="M63" s="231">
        <v>0</v>
      </c>
      <c r="N63" s="231">
        <v>0</v>
      </c>
      <c r="O63" s="231">
        <v>0</v>
      </c>
      <c r="P63" s="231">
        <v>0</v>
      </c>
    </row>
    <row r="64" spans="4:16" x14ac:dyDescent="0.25">
      <c r="F64" t="s">
        <v>947</v>
      </c>
      <c r="H64" t="s">
        <v>449</v>
      </c>
      <c r="J64" s="226">
        <v>-6.3179999999999996</v>
      </c>
      <c r="K64" s="226">
        <v>-0.97499999999999998</v>
      </c>
      <c r="L64" s="226">
        <v>-0.44700000000000001</v>
      </c>
      <c r="M64" s="227">
        <v>0</v>
      </c>
      <c r="N64" s="227">
        <v>0</v>
      </c>
      <c r="O64" s="227">
        <v>0</v>
      </c>
      <c r="P64" s="226">
        <v>0.222</v>
      </c>
    </row>
    <row r="65" spans="2:19" x14ac:dyDescent="0.25">
      <c r="F65" t="s">
        <v>954</v>
      </c>
      <c r="H65" t="s">
        <v>449</v>
      </c>
      <c r="J65" s="231">
        <v>0</v>
      </c>
      <c r="K65" s="231">
        <v>0</v>
      </c>
      <c r="L65" s="231">
        <v>0</v>
      </c>
      <c r="M65" s="231">
        <v>0</v>
      </c>
      <c r="N65" s="231">
        <v>0</v>
      </c>
      <c r="O65" s="231">
        <v>0</v>
      </c>
      <c r="P65" s="231">
        <v>0</v>
      </c>
    </row>
    <row r="66" spans="2:19" x14ac:dyDescent="0.25">
      <c r="F66" t="s">
        <v>948</v>
      </c>
      <c r="H66" t="s">
        <v>449</v>
      </c>
      <c r="J66" s="226">
        <v>-3.46</v>
      </c>
      <c r="K66" s="226">
        <v>-0.51700000000000002</v>
      </c>
      <c r="L66" s="226">
        <v>-0.23100000000000001</v>
      </c>
      <c r="M66" s="227">
        <v>0</v>
      </c>
      <c r="N66" s="227">
        <v>0</v>
      </c>
      <c r="O66" s="227">
        <v>0</v>
      </c>
      <c r="P66" s="226">
        <v>0.20300000000000001</v>
      </c>
    </row>
    <row r="67" spans="2:19" x14ac:dyDescent="0.25">
      <c r="F67" s="37" t="s">
        <v>953</v>
      </c>
      <c r="G67" s="37"/>
      <c r="H67" s="37" t="s">
        <v>449</v>
      </c>
      <c r="I67" s="37"/>
      <c r="J67" s="232">
        <v>0</v>
      </c>
      <c r="K67" s="232">
        <v>0</v>
      </c>
      <c r="L67" s="232">
        <v>0</v>
      </c>
      <c r="M67" s="232">
        <v>0</v>
      </c>
      <c r="N67" s="232">
        <v>0</v>
      </c>
      <c r="O67" s="232">
        <v>0</v>
      </c>
      <c r="P67" s="232">
        <v>0</v>
      </c>
    </row>
    <row r="68" spans="2:19" x14ac:dyDescent="0.25">
      <c r="D68" s="32"/>
      <c r="E68" s="32"/>
      <c r="F68" s="32"/>
      <c r="G68" s="32"/>
      <c r="H68" s="32"/>
      <c r="I68" s="32"/>
      <c r="J68" s="32"/>
      <c r="K68" s="32"/>
      <c r="L68" s="32"/>
      <c r="M68" s="234"/>
      <c r="N68" s="234"/>
      <c r="O68" s="234"/>
      <c r="P68" s="32"/>
      <c r="Q68" s="32"/>
      <c r="R68" s="32"/>
      <c r="S68" s="32"/>
    </row>
    <row r="69" spans="2:19" x14ac:dyDescent="0.25">
      <c r="B69" s="30" t="s">
        <v>231</v>
      </c>
      <c r="C69" s="30"/>
      <c r="D69" s="30"/>
      <c r="E69" s="30"/>
      <c r="F69" s="30"/>
      <c r="G69" s="30"/>
      <c r="H69" s="30"/>
      <c r="I69" s="30"/>
      <c r="J69" s="30"/>
      <c r="K69" s="30"/>
      <c r="L69" s="104"/>
      <c r="M69" s="235"/>
      <c r="N69" s="235"/>
      <c r="O69" s="235"/>
      <c r="P69" s="104"/>
      <c r="Q69" s="104"/>
      <c r="R69" s="104"/>
    </row>
    <row r="70" spans="2:19" x14ac:dyDescent="0.25">
      <c r="M70" s="233"/>
      <c r="N70" s="233"/>
      <c r="O70" s="233"/>
    </row>
    <row r="71" spans="2:19" x14ac:dyDescent="0.25">
      <c r="D71"/>
      <c r="E71" t="s">
        <v>232</v>
      </c>
      <c r="G71" s="6" t="s">
        <v>55</v>
      </c>
      <c r="H71" s="26">
        <f t="array" ref="H71">SUM(IF(ISERROR(J16:P67), 1))</f>
        <v>0</v>
      </c>
      <c r="M71" s="233"/>
      <c r="N71" s="233"/>
      <c r="O71" s="233"/>
    </row>
    <row r="72" spans="2:19" x14ac:dyDescent="0.25">
      <c r="M72" s="233"/>
      <c r="N72" s="233"/>
      <c r="O72" s="233"/>
    </row>
    <row r="73" spans="2:19" x14ac:dyDescent="0.25">
      <c r="B73" s="30" t="s">
        <v>106</v>
      </c>
      <c r="C73" s="30"/>
      <c r="D73" s="30"/>
      <c r="E73" s="30"/>
      <c r="F73" s="30"/>
      <c r="G73" s="30"/>
      <c r="H73" s="30"/>
      <c r="I73" s="30"/>
      <c r="J73" s="30"/>
      <c r="K73" s="30"/>
      <c r="L73" s="104"/>
      <c r="M73" s="235"/>
      <c r="N73" s="235"/>
      <c r="O73" s="235"/>
      <c r="P73" s="104"/>
      <c r="Q73" s="104"/>
      <c r="R73" s="104"/>
    </row>
    <row r="74" spans="2:19" x14ac:dyDescent="0.25">
      <c r="M74" s="233"/>
      <c r="N74" s="233"/>
      <c r="O74" s="233"/>
    </row>
    <row r="75" spans="2:19" x14ac:dyDescent="0.25">
      <c r="D75"/>
    </row>
  </sheetData>
  <sheetProtection sheet="1" objects="1" formatCells="0" formatColumns="0" formatRows="0" sort="0" autoFilter="0"/>
  <conditionalFormatting sqref="H71">
    <cfRule type="cellIs" dxfId="3" priority="12" operator="greaterThan">
      <formula>0</formula>
    </cfRule>
  </conditionalFormatting>
  <conditionalFormatting sqref="A4:XFD4">
    <cfRule type="expression" dxfId="2" priority="1">
      <formula>LEFT($A$4,1) &lt;&gt; "0"</formula>
    </cfRule>
  </conditionalFormatting>
  <hyperlinks>
    <hyperlink ref="B5:F5" location="'Model map'!A1" display="Click here to return to model map" xr:uid="{00000000-0004-0000-1B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theme="9" tint="0.39997558519241921"/>
    <pageSetUpPr fitToPage="1"/>
  </sheetPr>
  <dimension ref="A1:JX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2" width="17" customWidth="1"/>
    <col min="23" max="23" width="2.42578125" customWidth="1"/>
    <col min="24" max="24" width="50.5703125" customWidth="1"/>
    <col min="25" max="25" width="2.42578125" customWidth="1"/>
    <col min="26" max="28" width="17" hidden="1" customWidth="1"/>
    <col min="29" max="29" width="2.42578125" hidden="1" customWidth="1"/>
    <col min="30" max="30" width="18.42578125" hidden="1" customWidth="1"/>
    <col min="31" max="31" width="4.42578125" hidden="1" customWidth="1"/>
    <col min="32" max="284" width="24.5703125" hidden="1" customWidth="1"/>
    <col min="285" max="16384" width="8.5703125" hidden="1"/>
  </cols>
  <sheetData>
    <row r="1" spans="1:24" s="1" customFormat="1" x14ac:dyDescent="0.25">
      <c r="A1" s="1" t="str">
        <f ca="1">MID(CELL("filename",A1),FIND("]",CELL("filename",A1))+1,255)</f>
        <v>Output to other models</v>
      </c>
    </row>
    <row r="2" spans="1:24" s="1" customFormat="1" x14ac:dyDescent="0.25">
      <c r="A2" s="1" t="str">
        <f>Cover!D21&amp;" - "&amp;Cover!D23</f>
        <v xml:space="preserve">SHEPD  - Final </v>
      </c>
    </row>
    <row r="3" spans="1:24" s="5" customFormat="1" x14ac:dyDescent="0.25">
      <c r="A3" s="5" t="str">
        <f>Cover!D2&amp;" - "&amp;Cover!D8&amp;" v"&amp;Cover!D10&amp;" - "&amp;Cover!D19</f>
        <v>CDCM charging model - Release for charge setting v5 - 2021/22</v>
      </c>
    </row>
    <row r="4" spans="1:24" x14ac:dyDescent="0.25">
      <c r="A4" s="12" t="str">
        <f>H78 &amp; IF(H78 = 1, " issue", " issues") &amp;" identified in checks on this sheet"</f>
        <v>0 issues identified in checks on this sheet</v>
      </c>
      <c r="B4" s="13"/>
      <c r="C4" s="13"/>
      <c r="D4" s="13"/>
      <c r="E4" s="13"/>
      <c r="F4" s="13"/>
      <c r="G4" s="13"/>
      <c r="H4" s="14"/>
      <c r="I4" s="14"/>
      <c r="J4" s="13"/>
    </row>
    <row r="5" spans="1:24" x14ac:dyDescent="0.25">
      <c r="B5" s="59" t="s">
        <v>142</v>
      </c>
      <c r="C5" s="60"/>
      <c r="D5" s="60"/>
      <c r="E5" s="60"/>
      <c r="F5" s="60"/>
      <c r="G5" s="61" t="s">
        <v>143</v>
      </c>
      <c r="H5" s="93" t="s">
        <v>144</v>
      </c>
      <c r="X5" s="61" t="s">
        <v>145</v>
      </c>
    </row>
    <row r="7" spans="1:24" x14ac:dyDescent="0.25">
      <c r="B7" s="30" t="s">
        <v>10</v>
      </c>
      <c r="C7" s="30"/>
      <c r="D7" s="30"/>
      <c r="E7" s="30"/>
      <c r="F7" s="30"/>
      <c r="G7" s="30"/>
      <c r="H7" s="30"/>
      <c r="I7" s="30"/>
      <c r="J7" s="30"/>
      <c r="K7" s="30"/>
      <c r="L7" s="105"/>
      <c r="M7" s="105"/>
      <c r="N7" s="105"/>
      <c r="O7" s="105"/>
      <c r="P7" s="105"/>
      <c r="Q7" s="105"/>
      <c r="R7" s="105"/>
      <c r="S7" s="105"/>
      <c r="T7" s="105"/>
      <c r="U7" s="105"/>
      <c r="V7" s="105"/>
      <c r="W7" s="105"/>
      <c r="X7" s="105"/>
    </row>
    <row r="9" spans="1:24" x14ac:dyDescent="0.25">
      <c r="C9" s="29" t="s">
        <v>919</v>
      </c>
      <c r="E9"/>
    </row>
    <row r="10" spans="1:24" x14ac:dyDescent="0.25">
      <c r="C10" s="29" t="s">
        <v>920</v>
      </c>
      <c r="E10"/>
    </row>
    <row r="12" spans="1:24" x14ac:dyDescent="0.25">
      <c r="B12" s="30" t="s">
        <v>921</v>
      </c>
      <c r="C12" s="30"/>
      <c r="D12" s="30"/>
      <c r="E12" s="30"/>
      <c r="F12" s="30"/>
      <c r="G12" s="30"/>
      <c r="H12" s="30"/>
      <c r="I12" s="30"/>
      <c r="J12" s="30"/>
      <c r="K12" s="30"/>
      <c r="L12" s="105"/>
      <c r="M12" s="105"/>
      <c r="N12" s="105"/>
      <c r="O12" s="105"/>
      <c r="P12" s="105"/>
      <c r="Q12" s="105"/>
      <c r="R12" s="105"/>
      <c r="S12" s="105"/>
      <c r="T12" s="105"/>
      <c r="U12" s="105"/>
      <c r="V12" s="105"/>
      <c r="W12" s="105"/>
      <c r="X12" s="105"/>
    </row>
    <row r="14" spans="1:24" x14ac:dyDescent="0.25">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row>
    <row r="16" spans="1:24" x14ac:dyDescent="0.25">
      <c r="D16" s="29" t="s">
        <v>922</v>
      </c>
      <c r="E16"/>
    </row>
    <row r="17" spans="2:24" x14ac:dyDescent="0.25">
      <c r="D17" s="29"/>
      <c r="E17"/>
    </row>
    <row r="18" spans="2:24" x14ac:dyDescent="0.25">
      <c r="E18" s="32" t="s">
        <v>923</v>
      </c>
    </row>
    <row r="19" spans="2:24" x14ac:dyDescent="0.25">
      <c r="F19" s="64" t="s">
        <v>192</v>
      </c>
      <c r="G19" s="23" t="s">
        <v>277</v>
      </c>
      <c r="H19" s="236">
        <f t="array" ref="H19:H23">TRANSPOSE('Unit costs'!L108:P108)</f>
        <v>0</v>
      </c>
    </row>
    <row r="20" spans="2:24" x14ac:dyDescent="0.25">
      <c r="E20"/>
      <c r="F20" s="28" t="s">
        <v>193</v>
      </c>
      <c r="G20" t="s">
        <v>277</v>
      </c>
      <c r="H20" s="237">
        <v>0</v>
      </c>
    </row>
    <row r="21" spans="2:24" x14ac:dyDescent="0.25">
      <c r="E21"/>
      <c r="F21" s="28" t="s">
        <v>194</v>
      </c>
      <c r="G21" t="s">
        <v>277</v>
      </c>
      <c r="H21" s="237">
        <v>170139966.45136243</v>
      </c>
    </row>
    <row r="22" spans="2:24" x14ac:dyDescent="0.25">
      <c r="E22"/>
      <c r="F22" s="28" t="s">
        <v>195</v>
      </c>
      <c r="G22" t="s">
        <v>277</v>
      </c>
      <c r="H22" s="237">
        <v>185477503.66405773</v>
      </c>
    </row>
    <row r="23" spans="2:24" x14ac:dyDescent="0.25">
      <c r="E23"/>
      <c r="F23" s="67" t="s">
        <v>196</v>
      </c>
      <c r="G23" s="37" t="s">
        <v>277</v>
      </c>
      <c r="H23" s="238">
        <v>0</v>
      </c>
    </row>
    <row r="25" spans="2:24" x14ac:dyDescent="0.25">
      <c r="B25" s="30" t="s">
        <v>924</v>
      </c>
      <c r="C25" s="30"/>
      <c r="D25" s="30"/>
      <c r="E25" s="30"/>
      <c r="F25" s="30"/>
      <c r="G25" s="30"/>
      <c r="H25" s="30"/>
      <c r="I25" s="30"/>
      <c r="J25" s="30"/>
      <c r="K25" s="30"/>
      <c r="L25" s="105"/>
      <c r="M25" s="105"/>
      <c r="N25" s="105"/>
      <c r="O25" s="105"/>
      <c r="P25" s="105"/>
      <c r="Q25" s="105"/>
      <c r="R25" s="105"/>
      <c r="S25" s="105"/>
      <c r="T25" s="105"/>
      <c r="U25" s="105"/>
      <c r="V25" s="105"/>
      <c r="W25" s="105"/>
      <c r="X25" s="105"/>
    </row>
    <row r="27" spans="2:24" x14ac:dyDescent="0.25">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row>
    <row r="29" spans="2:24" x14ac:dyDescent="0.25">
      <c r="D29" s="29" t="s">
        <v>1068</v>
      </c>
      <c r="E29"/>
    </row>
    <row r="31" spans="2:24" ht="45" x14ac:dyDescent="0.25">
      <c r="C31" s="239"/>
      <c r="E31" s="32" t="s">
        <v>925</v>
      </c>
      <c r="J31" s="240" t="s">
        <v>940</v>
      </c>
      <c r="K31" s="240" t="s">
        <v>942</v>
      </c>
      <c r="L31" s="240" t="s">
        <v>941</v>
      </c>
      <c r="M31" s="240" t="s">
        <v>943</v>
      </c>
      <c r="N31" s="240" t="s">
        <v>949</v>
      </c>
      <c r="O31" s="240" t="s">
        <v>950</v>
      </c>
      <c r="P31" s="240" t="s">
        <v>951</v>
      </c>
      <c r="Q31" s="240" t="s">
        <v>952</v>
      </c>
      <c r="R31" s="240" t="s">
        <v>944</v>
      </c>
      <c r="S31" s="240" t="s">
        <v>945</v>
      </c>
      <c r="T31" s="240" t="s">
        <v>946</v>
      </c>
      <c r="U31" s="240" t="s">
        <v>947</v>
      </c>
      <c r="V31" s="240" t="s">
        <v>948</v>
      </c>
    </row>
    <row r="32" spans="2:24" x14ac:dyDescent="0.25">
      <c r="C32" s="239"/>
      <c r="D32"/>
      <c r="F32" s="241" t="s">
        <v>156</v>
      </c>
      <c r="G32" s="241" t="s">
        <v>269</v>
      </c>
      <c r="H32" s="270" t="s">
        <v>884</v>
      </c>
      <c r="I32" s="270"/>
      <c r="J32" s="295">
        <f>Rounding!J90</f>
        <v>11.165329823487141</v>
      </c>
      <c r="K32" s="295">
        <f>Rounding!K90</f>
        <v>11.165329823487141</v>
      </c>
      <c r="L32" s="295">
        <f>Rounding!L90</f>
        <v>11.600317841672103</v>
      </c>
      <c r="M32" s="295">
        <f>Rounding!M90</f>
        <v>11.600317841672103</v>
      </c>
      <c r="N32" s="295">
        <f>Rounding!N90</f>
        <v>9.0749915054506332</v>
      </c>
      <c r="O32" s="295">
        <f>Rounding!O90</f>
        <v>5.2623865687211993</v>
      </c>
      <c r="P32" s="295">
        <f>Rounding!P90</f>
        <v>4.0867575409669055</v>
      </c>
      <c r="Q32" s="295">
        <f>Rounding!Q90</f>
        <v>23.361724046807343</v>
      </c>
      <c r="R32" s="295">
        <f>Rounding!R90</f>
        <v>-7.0400663600224984</v>
      </c>
      <c r="S32" s="295">
        <f>Rounding!S90</f>
        <v>-6.3183521781843845</v>
      </c>
      <c r="T32" s="295">
        <f>Rounding!T90</f>
        <v>-7.0400663600224984</v>
      </c>
      <c r="U32" s="295">
        <f>Rounding!V90</f>
        <v>-6.3183521781843845</v>
      </c>
      <c r="V32" s="295">
        <f>Rounding!X90</f>
        <v>-3.4601529888602931</v>
      </c>
      <c r="W32" s="272"/>
      <c r="X32" s="272"/>
    </row>
    <row r="33" spans="3:24" x14ac:dyDescent="0.25">
      <c r="C33" s="239"/>
      <c r="D33"/>
      <c r="F33" s="242" t="s">
        <v>157</v>
      </c>
      <c r="G33" s="242" t="s">
        <v>269</v>
      </c>
      <c r="H33" s="272" t="s">
        <v>884</v>
      </c>
      <c r="I33" s="272"/>
      <c r="J33" s="296">
        <f>Rounding!J91</f>
        <v>2.8657778758386829</v>
      </c>
      <c r="K33" s="296">
        <f>Rounding!K91</f>
        <v>2.8657778758386829</v>
      </c>
      <c r="L33" s="296">
        <f>Rounding!L91</f>
        <v>2.9331416259254359</v>
      </c>
      <c r="M33" s="296">
        <f>Rounding!M91</f>
        <v>2.9331416259254359</v>
      </c>
      <c r="N33" s="296">
        <f>Rounding!N91</f>
        <v>2.5335131217989497</v>
      </c>
      <c r="O33" s="296">
        <f>Rounding!O91</f>
        <v>1.9297777819321384</v>
      </c>
      <c r="P33" s="296">
        <f>Rounding!P91</f>
        <v>1.7405655034466805</v>
      </c>
      <c r="Q33" s="296">
        <f>Rounding!Q91</f>
        <v>5.1191344450493883</v>
      </c>
      <c r="R33" s="296">
        <f>Rounding!R91</f>
        <v>-1.0902490437542633</v>
      </c>
      <c r="S33" s="296">
        <f>Rounding!S91</f>
        <v>-0.97545424417849347</v>
      </c>
      <c r="T33" s="296">
        <f>Rounding!T91</f>
        <v>-1.0902490437542633</v>
      </c>
      <c r="U33" s="296">
        <f>Rounding!V91</f>
        <v>-0.97545424417849347</v>
      </c>
      <c r="V33" s="296">
        <f>Rounding!X91</f>
        <v>-0.51650220466529395</v>
      </c>
      <c r="W33" s="272"/>
      <c r="X33" s="272"/>
    </row>
    <row r="34" spans="3:24" x14ac:dyDescent="0.25">
      <c r="C34" s="239"/>
      <c r="D34"/>
      <c r="F34" s="242" t="s">
        <v>158</v>
      </c>
      <c r="G34" s="242" t="s">
        <v>269</v>
      </c>
      <c r="H34" s="272" t="s">
        <v>884</v>
      </c>
      <c r="I34" s="272"/>
      <c r="J34" s="296">
        <f>Rounding!J92</f>
        <v>2.0433508230323545</v>
      </c>
      <c r="K34" s="296">
        <f>Rounding!K92</f>
        <v>2.0433508230323545</v>
      </c>
      <c r="L34" s="296">
        <f>Rounding!L92</f>
        <v>2.0742856013795241</v>
      </c>
      <c r="M34" s="296">
        <f>Rounding!M92</f>
        <v>2.0742856013795241</v>
      </c>
      <c r="N34" s="296">
        <f>Rounding!N92</f>
        <v>1.8882307966922554</v>
      </c>
      <c r="O34" s="296">
        <f>Rounding!O92</f>
        <v>1.607034695963012</v>
      </c>
      <c r="P34" s="296">
        <f>Rounding!P92</f>
        <v>1.5180220524553145</v>
      </c>
      <c r="Q34" s="296">
        <f>Rounding!Q92</f>
        <v>4.1093830603741246</v>
      </c>
      <c r="R34" s="296">
        <f>Rounding!R92</f>
        <v>-0.5006641178425727</v>
      </c>
      <c r="S34" s="296">
        <f>Rounding!S92</f>
        <v>-0.44704928923359355</v>
      </c>
      <c r="T34" s="296">
        <f>Rounding!T92</f>
        <v>-0.5006641178425727</v>
      </c>
      <c r="U34" s="296">
        <f>Rounding!V92</f>
        <v>-0.44704928923359355</v>
      </c>
      <c r="V34" s="296">
        <f>Rounding!X92</f>
        <v>-0.23144428706139836</v>
      </c>
      <c r="W34" s="272"/>
      <c r="X34" s="272"/>
    </row>
    <row r="35" spans="3:24" x14ac:dyDescent="0.25">
      <c r="C35" s="239"/>
      <c r="D35"/>
      <c r="F35" s="242" t="s">
        <v>159</v>
      </c>
      <c r="G35" s="242" t="s">
        <v>270</v>
      </c>
      <c r="H35" t="s">
        <v>884</v>
      </c>
      <c r="J35" s="237">
        <f>Rounding!J93</f>
        <v>6.6175718801834673</v>
      </c>
      <c r="K35" s="237">
        <f>Rounding!K93</f>
        <v>0</v>
      </c>
      <c r="L35" s="237">
        <f>Rounding!L93</f>
        <v>9.5290668846530906</v>
      </c>
      <c r="M35" s="237">
        <f>Rounding!M93</f>
        <v>0</v>
      </c>
      <c r="N35" s="237">
        <f>Rounding!N93</f>
        <v>29.576050526927716</v>
      </c>
      <c r="O35" s="237">
        <f>Rounding!O93</f>
        <v>54.802244524365939</v>
      </c>
      <c r="P35" s="237">
        <f>Rounding!P93</f>
        <v>307.23294745941183</v>
      </c>
      <c r="Q35" s="237">
        <f>Rounding!Q93</f>
        <v>0</v>
      </c>
      <c r="R35" s="237">
        <f>Rounding!R93</f>
        <v>0</v>
      </c>
      <c r="S35" s="237">
        <f>Rounding!S93</f>
        <v>0</v>
      </c>
      <c r="T35" s="237">
        <f>Rounding!T93</f>
        <v>0</v>
      </c>
      <c r="U35" s="237">
        <f>Rounding!V93</f>
        <v>0</v>
      </c>
      <c r="V35" s="237">
        <f>Rounding!X93</f>
        <v>498.32981028380851</v>
      </c>
    </row>
    <row r="36" spans="3:24" x14ac:dyDescent="0.25">
      <c r="C36" s="239"/>
      <c r="D36"/>
      <c r="F36" s="242" t="s">
        <v>160</v>
      </c>
      <c r="G36" s="242" t="s">
        <v>271</v>
      </c>
      <c r="H36" t="s">
        <v>884</v>
      </c>
      <c r="J36" s="237">
        <f>Rounding!J94</f>
        <v>0</v>
      </c>
      <c r="K36" s="237">
        <f>Rounding!K94</f>
        <v>0</v>
      </c>
      <c r="L36" s="237">
        <f>Rounding!L94</f>
        <v>0</v>
      </c>
      <c r="M36" s="237">
        <f>Rounding!M94</f>
        <v>0</v>
      </c>
      <c r="N36" s="237">
        <f>Rounding!N94</f>
        <v>5.1440159705455697</v>
      </c>
      <c r="O36" s="237">
        <f>Rounding!O94</f>
        <v>8.3306434828431062</v>
      </c>
      <c r="P36" s="237">
        <f>Rounding!P94</f>
        <v>11.113457295581</v>
      </c>
      <c r="Q36" s="237">
        <f>Rounding!Q94</f>
        <v>0</v>
      </c>
      <c r="R36" s="237">
        <f>Rounding!R94</f>
        <v>0</v>
      </c>
      <c r="S36" s="237">
        <f>Rounding!S94</f>
        <v>0</v>
      </c>
      <c r="T36" s="237">
        <f>Rounding!T94</f>
        <v>0</v>
      </c>
      <c r="U36" s="237">
        <f>Rounding!V94</f>
        <v>0</v>
      </c>
      <c r="V36" s="237">
        <f>Rounding!X94</f>
        <v>0</v>
      </c>
    </row>
    <row r="37" spans="3:24" x14ac:dyDescent="0.25">
      <c r="C37" s="239"/>
      <c r="D37"/>
      <c r="F37" s="242" t="s">
        <v>161</v>
      </c>
      <c r="G37" s="242" t="s">
        <v>271</v>
      </c>
      <c r="H37" t="s">
        <v>884</v>
      </c>
      <c r="J37" s="237">
        <f>Rounding!J95</f>
        <v>0</v>
      </c>
      <c r="K37" s="237">
        <f>Rounding!K95</f>
        <v>0</v>
      </c>
      <c r="L37" s="237">
        <f>Rounding!L95</f>
        <v>0</v>
      </c>
      <c r="M37" s="237">
        <f>Rounding!M95</f>
        <v>0</v>
      </c>
      <c r="N37" s="237">
        <f>Rounding!N95</f>
        <v>9.1762338963144749</v>
      </c>
      <c r="O37" s="237">
        <f>Rounding!O95</f>
        <v>11.393186401103572</v>
      </c>
      <c r="P37" s="237">
        <f>Rounding!P95</f>
        <v>13.027486250063824</v>
      </c>
      <c r="Q37" s="237">
        <f>Rounding!Q95</f>
        <v>0</v>
      </c>
      <c r="R37" s="237">
        <f>Rounding!R95</f>
        <v>0</v>
      </c>
      <c r="S37" s="237">
        <f>Rounding!S95</f>
        <v>0</v>
      </c>
      <c r="T37" s="237">
        <f>Rounding!T95</f>
        <v>0</v>
      </c>
      <c r="U37" s="237">
        <f>Rounding!V95</f>
        <v>0</v>
      </c>
      <c r="V37" s="237">
        <f>Rounding!X95</f>
        <v>0</v>
      </c>
    </row>
    <row r="38" spans="3:24" x14ac:dyDescent="0.25">
      <c r="C38" s="239"/>
      <c r="D38"/>
      <c r="F38" s="243" t="s">
        <v>162</v>
      </c>
      <c r="G38" s="243" t="s">
        <v>272</v>
      </c>
      <c r="H38" s="276" t="s">
        <v>884</v>
      </c>
      <c r="I38" s="276"/>
      <c r="J38" s="297">
        <f>Rounding!J96</f>
        <v>0</v>
      </c>
      <c r="K38" s="297">
        <f>Rounding!K96</f>
        <v>0</v>
      </c>
      <c r="L38" s="297">
        <f>Rounding!L96</f>
        <v>0</v>
      </c>
      <c r="M38" s="297">
        <f>Rounding!M96</f>
        <v>0</v>
      </c>
      <c r="N38" s="297">
        <f>Rounding!N96</f>
        <v>0.27331421440687764</v>
      </c>
      <c r="O38" s="297">
        <f>Rounding!O96</f>
        <v>0.1268234960859709</v>
      </c>
      <c r="P38" s="297">
        <f>Rounding!P96</f>
        <v>8.943027690120936E-2</v>
      </c>
      <c r="Q38" s="297">
        <f>Rounding!Q96</f>
        <v>0</v>
      </c>
      <c r="R38" s="297">
        <f>Rounding!R96</f>
        <v>0</v>
      </c>
      <c r="S38" s="297">
        <f>Rounding!S96</f>
        <v>0</v>
      </c>
      <c r="T38" s="297">
        <f>Rounding!T96</f>
        <v>0.26353316215755945</v>
      </c>
      <c r="U38" s="297">
        <f>Rounding!V96</f>
        <v>0.22238816388478141</v>
      </c>
      <c r="V38" s="297">
        <f>Rounding!X96</f>
        <v>0.20330260311142292</v>
      </c>
      <c r="W38" s="272"/>
      <c r="X38" s="272"/>
    </row>
    <row r="39" spans="3:24" x14ac:dyDescent="0.25">
      <c r="D39"/>
      <c r="E39"/>
      <c r="F39" s="244"/>
    </row>
    <row r="40" spans="3:24" x14ac:dyDescent="0.25">
      <c r="D40" s="29" t="s">
        <v>1067</v>
      </c>
      <c r="E40"/>
    </row>
    <row r="42" spans="3:24" ht="60" customHeight="1" x14ac:dyDescent="0.25">
      <c r="D42"/>
      <c r="E42"/>
      <c r="F42" s="244"/>
      <c r="J42" s="240" t="s">
        <v>940</v>
      </c>
      <c r="K42" s="240" t="s">
        <v>942</v>
      </c>
      <c r="L42" s="240" t="s">
        <v>941</v>
      </c>
      <c r="M42" s="240" t="s">
        <v>943</v>
      </c>
      <c r="N42" s="240" t="s">
        <v>949</v>
      </c>
      <c r="O42" s="240" t="s">
        <v>950</v>
      </c>
      <c r="P42" s="240" t="s">
        <v>951</v>
      </c>
      <c r="Q42" s="240" t="s">
        <v>952</v>
      </c>
      <c r="R42" s="240" t="s">
        <v>944</v>
      </c>
      <c r="S42" s="240" t="s">
        <v>945</v>
      </c>
      <c r="T42" s="240" t="s">
        <v>946</v>
      </c>
      <c r="U42" s="240" t="s">
        <v>947</v>
      </c>
      <c r="V42" s="240" t="s">
        <v>948</v>
      </c>
    </row>
    <row r="43" spans="3:24" x14ac:dyDescent="0.25">
      <c r="D43"/>
      <c r="E43" t="s">
        <v>1058</v>
      </c>
      <c r="F43" s="244"/>
      <c r="G43" t="s">
        <v>270</v>
      </c>
      <c r="J43" s="237">
        <f>'Fixed charge adder'!J46</f>
        <v>0.49582191822160115</v>
      </c>
      <c r="K43" s="237">
        <f>'Fixed charge adder'!K46</f>
        <v>0</v>
      </c>
      <c r="L43" s="237">
        <f>'Fixed charge adder'!L46</f>
        <v>0.45352479509449634</v>
      </c>
      <c r="M43" s="237">
        <f>'Fixed charge adder'!M46</f>
        <v>0</v>
      </c>
      <c r="N43" s="237">
        <f>'Fixed charge adder'!N46</f>
        <v>0.45352479509449634</v>
      </c>
      <c r="O43" s="237">
        <f>'Fixed charge adder'!O46</f>
        <v>0.45352479509449634</v>
      </c>
      <c r="P43" s="237">
        <f>'Fixed charge adder'!P46</f>
        <v>0.45352479509449634</v>
      </c>
      <c r="Q43" s="237">
        <f>'Fixed charge adder'!Q46</f>
        <v>0</v>
      </c>
      <c r="R43" s="237">
        <f>'Fixed charge adder'!R46</f>
        <v>0</v>
      </c>
      <c r="S43" s="237">
        <f>'Fixed charge adder'!S46</f>
        <v>0</v>
      </c>
      <c r="T43" s="237">
        <f>'Fixed charge adder'!T46</f>
        <v>0</v>
      </c>
      <c r="U43" s="237">
        <f>'Fixed charge adder'!V46</f>
        <v>0</v>
      </c>
      <c r="V43" s="237">
        <f>'Fixed charge adder'!X46</f>
        <v>0</v>
      </c>
    </row>
    <row r="44" spans="3:24" x14ac:dyDescent="0.25">
      <c r="D44"/>
      <c r="E44"/>
      <c r="F44" s="244"/>
    </row>
    <row r="45" spans="3:24" x14ac:dyDescent="0.25">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row>
    <row r="46" spans="3:24" x14ac:dyDescent="0.25">
      <c r="C46" s="2"/>
      <c r="D46"/>
    </row>
    <row r="47" spans="3:24" x14ac:dyDescent="0.25">
      <c r="D47" s="29" t="s">
        <v>926</v>
      </c>
      <c r="E47"/>
    </row>
    <row r="49" spans="2:24" x14ac:dyDescent="0.25">
      <c r="D49"/>
      <c r="F49" s="2"/>
      <c r="G49" s="2"/>
      <c r="H49" s="2"/>
      <c r="I49" s="2"/>
      <c r="J49" s="114" t="s">
        <v>191</v>
      </c>
      <c r="K49" s="114" t="s">
        <v>192</v>
      </c>
      <c r="L49" s="114" t="s">
        <v>193</v>
      </c>
      <c r="M49" s="114" t="s">
        <v>194</v>
      </c>
      <c r="N49" s="114" t="s">
        <v>195</v>
      </c>
      <c r="O49" s="114" t="s">
        <v>196</v>
      </c>
      <c r="P49" s="114" t="s">
        <v>197</v>
      </c>
      <c r="Q49" s="114" t="s">
        <v>198</v>
      </c>
      <c r="R49" s="114" t="s">
        <v>199</v>
      </c>
      <c r="S49" s="114" t="s">
        <v>376</v>
      </c>
      <c r="T49" s="114" t="s">
        <v>377</v>
      </c>
    </row>
    <row r="50" spans="2:24" x14ac:dyDescent="0.25">
      <c r="D50"/>
      <c r="E50" s="312" t="s">
        <v>937</v>
      </c>
      <c r="F50" s="312"/>
      <c r="G50" s="67" t="s">
        <v>167</v>
      </c>
      <c r="H50" s="37"/>
      <c r="I50" s="37"/>
      <c r="J50" s="313"/>
      <c r="K50" s="314">
        <f t="array" ref="K50:O50">TRANSPOSE('System peak demand'!H227:H231)</f>
        <v>4.8999999999999932E-2</v>
      </c>
      <c r="L50" s="314">
        <v>4.8999999999999932E-2</v>
      </c>
      <c r="M50" s="314">
        <v>0.14058818999999989</v>
      </c>
      <c r="N50" s="314">
        <v>0.14058818999999989</v>
      </c>
      <c r="O50" s="314">
        <v>4.8999999999999932E-2</v>
      </c>
      <c r="P50" s="313"/>
      <c r="Q50" s="313"/>
      <c r="R50" s="313"/>
      <c r="S50" s="313"/>
      <c r="T50" s="313"/>
    </row>
    <row r="51" spans="2:24" x14ac:dyDescent="0.25">
      <c r="D51"/>
      <c r="E51" s="315" t="s">
        <v>938</v>
      </c>
      <c r="F51" s="315"/>
      <c r="G51" s="108" t="s">
        <v>520</v>
      </c>
      <c r="H51" s="108"/>
      <c r="I51" s="108"/>
      <c r="J51" s="316">
        <f t="array" ref="J51:O51">TRANSPOSE('System peak demand'!H154:H159)</f>
        <v>933238.9133088222</v>
      </c>
      <c r="K51" s="316">
        <v>0</v>
      </c>
      <c r="L51" s="316">
        <v>0</v>
      </c>
      <c r="M51" s="316">
        <v>910356.63764098403</v>
      </c>
      <c r="N51" s="316">
        <v>899709.19158670353</v>
      </c>
      <c r="O51" s="316">
        <v>0</v>
      </c>
      <c r="P51" s="317"/>
      <c r="Q51" s="317"/>
      <c r="R51" s="317"/>
      <c r="S51" s="317"/>
      <c r="T51" s="317"/>
    </row>
    <row r="52" spans="2:24" x14ac:dyDescent="0.25">
      <c r="D52"/>
      <c r="E52" s="315" t="s">
        <v>927</v>
      </c>
      <c r="F52" s="315"/>
      <c r="G52" s="108" t="s">
        <v>277</v>
      </c>
      <c r="H52" s="108"/>
      <c r="I52" s="108"/>
      <c r="J52" s="317"/>
      <c r="K52" s="316">
        <f>'Unit costs'!L108</f>
        <v>0</v>
      </c>
      <c r="L52" s="316">
        <f>'Unit costs'!M108</f>
        <v>0</v>
      </c>
      <c r="M52" s="316">
        <f>'Unit costs'!N108</f>
        <v>170139966.45136243</v>
      </c>
      <c r="N52" s="316">
        <f>'Unit costs'!O108</f>
        <v>185477503.66405773</v>
      </c>
      <c r="O52" s="316">
        <f>'Unit costs'!P108</f>
        <v>0</v>
      </c>
      <c r="P52" s="316">
        <f>'Unit costs'!Q108</f>
        <v>856113959.43654633</v>
      </c>
      <c r="Q52" s="316">
        <f>'Unit costs'!R108</f>
        <v>205578604.14524239</v>
      </c>
      <c r="R52" s="316">
        <f>'Unit costs'!S108</f>
        <v>394556444.5135076</v>
      </c>
      <c r="S52" s="316">
        <f>'Unit costs'!T108</f>
        <v>341750052.29064399</v>
      </c>
      <c r="T52" s="316">
        <f>'Unit costs'!U108</f>
        <v>35116740.686585791</v>
      </c>
    </row>
    <row r="53" spans="2:24" x14ac:dyDescent="0.25">
      <c r="D53"/>
      <c r="E53" s="318" t="s">
        <v>392</v>
      </c>
      <c r="F53" s="318"/>
      <c r="G53" s="23" t="s">
        <v>283</v>
      </c>
      <c r="H53" s="23"/>
      <c r="I53" s="23"/>
      <c r="J53" s="236">
        <f>'Load &amp; loss characteristics'!K29</f>
        <v>1</v>
      </c>
      <c r="K53" s="236">
        <f>'Load &amp; loss characteristics'!L29</f>
        <v>1</v>
      </c>
      <c r="L53" s="236">
        <f>'Load &amp; loss characteristics'!M29</f>
        <v>1</v>
      </c>
      <c r="M53" s="236">
        <f>'Load &amp; loss characteristics'!N29</f>
        <v>1.014</v>
      </c>
      <c r="N53" s="236">
        <f>'Load &amp; loss characteristics'!O29</f>
        <v>1.026</v>
      </c>
      <c r="O53" s="236">
        <f>'Load &amp; loss characteristics'!P29</f>
        <v>1.026</v>
      </c>
      <c r="P53" s="83"/>
      <c r="Q53" s="83"/>
      <c r="R53" s="83"/>
      <c r="S53" s="83"/>
      <c r="T53" s="83"/>
    </row>
    <row r="54" spans="2:24" x14ac:dyDescent="0.25">
      <c r="D54"/>
      <c r="E54"/>
      <c r="F54" s="244"/>
    </row>
    <row r="55" spans="2:24" x14ac:dyDescent="0.25">
      <c r="B55" s="30" t="s">
        <v>928</v>
      </c>
      <c r="C55" s="30"/>
      <c r="D55" s="30"/>
      <c r="E55" s="30"/>
      <c r="F55" s="30"/>
      <c r="G55" s="30"/>
      <c r="H55" s="30"/>
      <c r="I55" s="30"/>
      <c r="J55" s="30"/>
      <c r="K55" s="30"/>
      <c r="L55" s="105"/>
      <c r="M55" s="105"/>
      <c r="N55" s="105"/>
      <c r="O55" s="105"/>
      <c r="P55" s="105"/>
      <c r="Q55" s="105"/>
      <c r="R55" s="105"/>
      <c r="S55" s="105"/>
      <c r="T55" s="105"/>
      <c r="U55" s="105"/>
      <c r="V55" s="105"/>
      <c r="W55" s="105"/>
      <c r="X55" s="105"/>
    </row>
    <row r="57" spans="2:24" x14ac:dyDescent="0.25">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row>
    <row r="59" spans="2:24" x14ac:dyDescent="0.25">
      <c r="D59" s="29" t="s">
        <v>929</v>
      </c>
      <c r="E59"/>
    </row>
    <row r="61" spans="2:24" ht="45" x14ac:dyDescent="0.25">
      <c r="F61" s="2"/>
      <c r="G61" s="2"/>
      <c r="H61" s="2"/>
      <c r="I61" s="2"/>
      <c r="J61" s="240" t="s">
        <v>940</v>
      </c>
      <c r="K61" s="240" t="s">
        <v>942</v>
      </c>
      <c r="L61" s="240" t="s">
        <v>941</v>
      </c>
      <c r="M61" s="240" t="s">
        <v>943</v>
      </c>
      <c r="N61" s="240" t="s">
        <v>949</v>
      </c>
      <c r="O61" s="240" t="s">
        <v>950</v>
      </c>
      <c r="P61" s="240" t="s">
        <v>951</v>
      </c>
      <c r="Q61" s="240" t="s">
        <v>952</v>
      </c>
      <c r="R61" s="240" t="s">
        <v>944</v>
      </c>
      <c r="S61" s="240" t="s">
        <v>945</v>
      </c>
      <c r="T61" s="240" t="s">
        <v>946</v>
      </c>
      <c r="U61" s="240" t="s">
        <v>947</v>
      </c>
      <c r="V61" s="240" t="s">
        <v>948</v>
      </c>
    </row>
    <row r="62" spans="2:24" x14ac:dyDescent="0.25">
      <c r="C62" s="239"/>
      <c r="D62"/>
      <c r="E62" s="37" t="s">
        <v>882</v>
      </c>
      <c r="F62" s="37"/>
      <c r="G62" s="86" t="s">
        <v>277</v>
      </c>
      <c r="H62" s="37" t="s">
        <v>884</v>
      </c>
      <c r="I62" s="37"/>
      <c r="J62" s="238">
        <f>'Net revenue summary'!J128</f>
        <v>154.76760333014252</v>
      </c>
      <c r="K62" s="238">
        <f>'Net revenue summary'!K128</f>
        <v>140.14377371995616</v>
      </c>
      <c r="L62" s="238">
        <f>'Net revenue summary'!L128</f>
        <v>518.08505454596127</v>
      </c>
      <c r="M62" s="238">
        <f>'Net revenue summary'!M128</f>
        <v>408.59745184365039</v>
      </c>
      <c r="N62" s="238">
        <f>'Net revenue summary'!N128</f>
        <v>8986.3924809786931</v>
      </c>
      <c r="O62" s="238">
        <f>'Net revenue summary'!O128</f>
        <v>33115.098674269291</v>
      </c>
      <c r="P62" s="238">
        <f>'Net revenue summary'!P128</f>
        <v>46563.264426844245</v>
      </c>
      <c r="Q62" s="238">
        <f>'Net revenue summary'!Q128</f>
        <v>2389.8054151011029</v>
      </c>
      <c r="R62" s="238">
        <f>'Net revenue summary'!R128</f>
        <v>-263.80687783817552</v>
      </c>
      <c r="S62" s="238">
        <f>'Net revenue summary'!S128</f>
        <v>-49.835370000000012</v>
      </c>
      <c r="T62" s="238">
        <f>'Net revenue summary'!T128</f>
        <v>-6782.0775527964452</v>
      </c>
      <c r="U62" s="238">
        <f>'Net revenue summary'!V128</f>
        <v>-22098.882679499991</v>
      </c>
      <c r="V62" s="238">
        <f>'Net revenue summary'!X128</f>
        <v>-28797.791292864134</v>
      </c>
    </row>
    <row r="63" spans="2:24" x14ac:dyDescent="0.25">
      <c r="C63" s="239"/>
      <c r="D63"/>
      <c r="E63" s="108" t="s">
        <v>887</v>
      </c>
      <c r="F63" s="108"/>
      <c r="G63" s="218" t="s">
        <v>269</v>
      </c>
      <c r="H63" s="319" t="s">
        <v>884</v>
      </c>
      <c r="I63" s="319"/>
      <c r="J63" s="320">
        <f>'Net revenue summary'!J134</f>
        <v>4.2256566313076638</v>
      </c>
      <c r="K63" s="320">
        <f>'Net revenue summary'!K134</f>
        <v>2.5772885323363957</v>
      </c>
      <c r="L63" s="320">
        <f>'Net revenue summary'!L134</f>
        <v>3.7610007505526966</v>
      </c>
      <c r="M63" s="320">
        <f>'Net revenue summary'!M134</f>
        <v>3.2694647232294489</v>
      </c>
      <c r="N63" s="320">
        <f>'Net revenue summary'!N134</f>
        <v>4.1947341476849536</v>
      </c>
      <c r="O63" s="320">
        <f>'Net revenue summary'!O134</f>
        <v>2.9904531766752971</v>
      </c>
      <c r="P63" s="320">
        <f>'Net revenue summary'!P134</f>
        <v>4.0392391267406476</v>
      </c>
      <c r="Q63" s="320">
        <f>'Net revenue summary'!Q134</f>
        <v>5.3316325394273774</v>
      </c>
      <c r="R63" s="320">
        <f>'Net revenue summary'!R134</f>
        <v>-1.5711987218482228</v>
      </c>
      <c r="S63" s="320">
        <f>'Net revenue summary'!S134</f>
        <v>-1.4259047210300428</v>
      </c>
      <c r="T63" s="320">
        <f>'Net revenue summary'!T134</f>
        <v>-1.2898134490280595</v>
      </c>
      <c r="U63" s="320">
        <f>'Net revenue summary'!V134</f>
        <v>-1.2876903473434813</v>
      </c>
      <c r="V63" s="320">
        <f>'Net revenue summary'!X134</f>
        <v>-0.60558230000161595</v>
      </c>
      <c r="W63" s="272"/>
      <c r="X63" s="272"/>
    </row>
    <row r="64" spans="2:24" x14ac:dyDescent="0.25">
      <c r="C64" s="239"/>
      <c r="D64"/>
      <c r="E64" s="108" t="s">
        <v>896</v>
      </c>
      <c r="F64" s="108"/>
      <c r="G64" s="108" t="s">
        <v>167</v>
      </c>
      <c r="H64" s="108" t="s">
        <v>884</v>
      </c>
      <c r="I64" s="108"/>
      <c r="J64" s="321">
        <f>'Net revenue summary'!J160</f>
        <v>0</v>
      </c>
      <c r="K64" s="321">
        <f>'Net revenue summary'!K160</f>
        <v>0</v>
      </c>
      <c r="L64" s="321">
        <f>'Net revenue summary'!L160</f>
        <v>0</v>
      </c>
      <c r="M64" s="321">
        <f>'Net revenue summary'!M160</f>
        <v>0</v>
      </c>
      <c r="N64" s="321">
        <f>'Net revenue summary'!N160</f>
        <v>0</v>
      </c>
      <c r="O64" s="321">
        <f>'Net revenue summary'!O160</f>
        <v>0</v>
      </c>
      <c r="P64" s="321">
        <f>'Net revenue summary'!P160</f>
        <v>0</v>
      </c>
      <c r="Q64" s="321">
        <f>'Net revenue summary'!Q160</f>
        <v>0</v>
      </c>
      <c r="R64" s="321">
        <f>'Net revenue summary'!R160</f>
        <v>0</v>
      </c>
      <c r="S64" s="321">
        <f>'Net revenue summary'!S160</f>
        <v>0</v>
      </c>
      <c r="T64" s="321">
        <f>'Net revenue summary'!T160</f>
        <v>0</v>
      </c>
      <c r="U64" s="321">
        <f>'Net revenue summary'!V160</f>
        <v>0</v>
      </c>
      <c r="V64" s="321">
        <f>'Net revenue summary'!X160</f>
        <v>0</v>
      </c>
    </row>
    <row r="65" spans="2:24" x14ac:dyDescent="0.25">
      <c r="C65" s="239"/>
      <c r="D65"/>
      <c r="E65" s="23" t="s">
        <v>897</v>
      </c>
      <c r="F65" s="23"/>
      <c r="G65" s="23" t="s">
        <v>269</v>
      </c>
      <c r="H65" s="270" t="s">
        <v>884</v>
      </c>
      <c r="I65" s="270"/>
      <c r="J65" s="295">
        <f>'Net revenue summary'!J162</f>
        <v>4.2256566313076629</v>
      </c>
      <c r="K65" s="295">
        <f>'Net revenue summary'!K162</f>
        <v>2.5772885323363957</v>
      </c>
      <c r="L65" s="295">
        <f>'Net revenue summary'!L162</f>
        <v>3.7610007505526966</v>
      </c>
      <c r="M65" s="295">
        <f>'Net revenue summary'!M162</f>
        <v>3.2694647232294485</v>
      </c>
      <c r="N65" s="295">
        <f>'Net revenue summary'!N162</f>
        <v>4.1947341476849527</v>
      </c>
      <c r="O65" s="295">
        <f>'Net revenue summary'!O162</f>
        <v>2.9904531766752971</v>
      </c>
      <c r="P65" s="295">
        <f>'Net revenue summary'!P162</f>
        <v>4.0392391267406476</v>
      </c>
      <c r="Q65" s="295">
        <f>'Net revenue summary'!Q162</f>
        <v>5.3316325394273765</v>
      </c>
      <c r="R65" s="295">
        <f>'Net revenue summary'!R162</f>
        <v>-1.5711987218482231</v>
      </c>
      <c r="S65" s="295">
        <f>'Net revenue summary'!S162</f>
        <v>-1.4259047210300426</v>
      </c>
      <c r="T65" s="295">
        <f>'Net revenue summary'!T162</f>
        <v>-1.2898134490280595</v>
      </c>
      <c r="U65" s="295">
        <f>'Net revenue summary'!V162</f>
        <v>-1.2876903473434813</v>
      </c>
      <c r="V65" s="295">
        <f>'Net revenue summary'!X162</f>
        <v>-0.60558230000161595</v>
      </c>
      <c r="W65" s="272"/>
      <c r="X65" s="272"/>
    </row>
    <row r="66" spans="2:24" x14ac:dyDescent="0.25">
      <c r="C66" s="239"/>
    </row>
    <row r="67" spans="2:24" x14ac:dyDescent="0.25">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row>
    <row r="69" spans="2:24" x14ac:dyDescent="0.25">
      <c r="D69" s="29" t="s">
        <v>930</v>
      </c>
      <c r="E69"/>
    </row>
    <row r="70" spans="2:24" x14ac:dyDescent="0.25">
      <c r="D70" s="29" t="s">
        <v>931</v>
      </c>
      <c r="E70"/>
    </row>
    <row r="72" spans="2:24" ht="45" x14ac:dyDescent="0.25">
      <c r="E72"/>
      <c r="J72" s="240" t="s">
        <v>940</v>
      </c>
      <c r="K72" s="240" t="s">
        <v>942</v>
      </c>
      <c r="L72" s="240" t="s">
        <v>941</v>
      </c>
      <c r="M72" s="240" t="s">
        <v>943</v>
      </c>
      <c r="N72" s="240" t="s">
        <v>949</v>
      </c>
      <c r="O72" s="240" t="s">
        <v>950</v>
      </c>
      <c r="P72" s="240" t="s">
        <v>951</v>
      </c>
      <c r="Q72" s="240" t="s">
        <v>952</v>
      </c>
      <c r="R72" s="240" t="s">
        <v>944</v>
      </c>
      <c r="S72" s="240" t="s">
        <v>945</v>
      </c>
      <c r="T72" s="240" t="s">
        <v>946</v>
      </c>
      <c r="U72" s="240" t="s">
        <v>947</v>
      </c>
      <c r="V72" s="240" t="s">
        <v>948</v>
      </c>
    </row>
    <row r="73" spans="2:24" x14ac:dyDescent="0.25">
      <c r="C73" s="239"/>
      <c r="D73"/>
      <c r="E73" s="23" t="s">
        <v>905</v>
      </c>
      <c r="F73" s="23"/>
      <c r="G73" s="64" t="s">
        <v>167</v>
      </c>
      <c r="H73" s="23" t="s">
        <v>448</v>
      </c>
      <c r="I73" s="23"/>
      <c r="J73" s="322">
        <f>'Net revenue summary'!J194</f>
        <v>0.29132805614112905</v>
      </c>
      <c r="K73" s="322">
        <f>'Net revenue summary'!K194</f>
        <v>0.29474927853266547</v>
      </c>
      <c r="L73" s="322">
        <f>'Net revenue summary'!L194</f>
        <v>0.29386134992315011</v>
      </c>
      <c r="M73" s="322">
        <f>'Net revenue summary'!M194</f>
        <v>0.29476257035654607</v>
      </c>
      <c r="N73" s="322">
        <f>'Net revenue summary'!N194</f>
        <v>0.29439307796705466</v>
      </c>
      <c r="O73" s="165"/>
      <c r="P73" s="165"/>
      <c r="Q73" s="322">
        <f>'Net revenue summary'!Q194</f>
        <v>0.29475476417017105</v>
      </c>
      <c r="R73" s="322">
        <f>'Net revenue summary'!R194</f>
        <v>0</v>
      </c>
      <c r="S73" s="165"/>
      <c r="T73" s="322">
        <f>'Net revenue summary'!T194</f>
        <v>-1.3410266908521526E-16</v>
      </c>
      <c r="U73" s="165"/>
      <c r="V73" s="165"/>
    </row>
    <row r="74" spans="2:24" x14ac:dyDescent="0.25">
      <c r="C74" s="239"/>
      <c r="D74"/>
      <c r="E74" s="37" t="s">
        <v>906</v>
      </c>
      <c r="F74" s="37"/>
      <c r="G74" s="67" t="s">
        <v>167</v>
      </c>
      <c r="H74" s="37" t="s">
        <v>449</v>
      </c>
      <c r="I74" s="37"/>
      <c r="J74" s="323">
        <f>'Net revenue summary'!J195</f>
        <v>0.54161933913506899</v>
      </c>
      <c r="K74" s="323">
        <f>'Net revenue summary'!K195</f>
        <v>0.54817878619781313</v>
      </c>
      <c r="L74" s="323">
        <f>'Net revenue summary'!L195</f>
        <v>0.54644986852403366</v>
      </c>
      <c r="M74" s="323">
        <f>'Net revenue summary'!M195</f>
        <v>0.54821815022581699</v>
      </c>
      <c r="N74" s="323">
        <f>'Net revenue summary'!N195</f>
        <v>0.54820901386670351</v>
      </c>
      <c r="O74" s="323">
        <f>'Net revenue summary'!O195</f>
        <v>0.34460926596815339</v>
      </c>
      <c r="P74" s="323">
        <f>'Net revenue summary'!P195</f>
        <v>0.28275019188695977</v>
      </c>
      <c r="Q74" s="323">
        <f>'Net revenue summary'!Q195</f>
        <v>0.54811994074639026</v>
      </c>
      <c r="R74" s="323">
        <f>'Net revenue summary'!R195</f>
        <v>0</v>
      </c>
      <c r="S74" s="323">
        <f>'Net revenue summary'!S195</f>
        <v>0</v>
      </c>
      <c r="T74" s="323">
        <f>'Net revenue summary'!T195</f>
        <v>-1.3410266908521526E-16</v>
      </c>
      <c r="U74" s="323">
        <f>'Net revenue summary'!V195</f>
        <v>-1.646227485730073E-16</v>
      </c>
      <c r="V74" s="323">
        <f>'Net revenue summary'!X195</f>
        <v>-6.31612501633316E-2</v>
      </c>
    </row>
    <row r="76" spans="2:24" x14ac:dyDescent="0.25">
      <c r="B76" s="30" t="s">
        <v>231</v>
      </c>
      <c r="C76" s="30"/>
      <c r="D76" s="30"/>
      <c r="E76" s="30"/>
      <c r="F76" s="30"/>
      <c r="G76" s="30"/>
      <c r="H76" s="30"/>
      <c r="I76" s="30"/>
      <c r="J76" s="30"/>
      <c r="K76" s="30"/>
      <c r="L76" s="104"/>
      <c r="M76" s="104"/>
      <c r="N76" s="104"/>
      <c r="O76" s="104"/>
      <c r="P76" s="104"/>
      <c r="Q76" s="104"/>
      <c r="R76" s="104"/>
      <c r="S76" s="104"/>
      <c r="T76" s="104"/>
      <c r="U76" s="105"/>
      <c r="V76" s="105"/>
      <c r="W76" s="105"/>
      <c r="X76" s="105"/>
    </row>
    <row r="78" spans="2:24" x14ac:dyDescent="0.25">
      <c r="E78" t="s">
        <v>232</v>
      </c>
      <c r="G78" s="6" t="s">
        <v>55</v>
      </c>
      <c r="H78" s="26">
        <f t="array" ref="H78">SUM(IF(ISERROR(H19:V75), 1))</f>
        <v>0</v>
      </c>
    </row>
    <row r="80" spans="2:24" x14ac:dyDescent="0.25">
      <c r="B80" s="30" t="s">
        <v>106</v>
      </c>
      <c r="C80" s="30"/>
      <c r="D80" s="30"/>
      <c r="E80" s="30"/>
      <c r="F80" s="30"/>
      <c r="G80" s="30"/>
      <c r="H80" s="30"/>
      <c r="I80" s="30"/>
      <c r="J80" s="30"/>
      <c r="K80" s="30"/>
      <c r="L80" s="104"/>
      <c r="M80" s="104"/>
      <c r="N80" s="104"/>
      <c r="O80" s="104"/>
      <c r="P80" s="104"/>
      <c r="Q80" s="104"/>
      <c r="R80" s="104"/>
      <c r="S80" s="104"/>
      <c r="T80" s="104"/>
      <c r="U80" s="105"/>
      <c r="V80" s="105"/>
      <c r="W80" s="105"/>
      <c r="X80" s="105"/>
    </row>
  </sheetData>
  <sheetProtection sheet="1" objects="1" formatCells="0" formatColumns="0" formatRows="0" sort="0" autoFilter="0"/>
  <conditionalFormatting sqref="H78">
    <cfRule type="cellIs" dxfId="1" priority="35" operator="greaterThan">
      <formula>0</formula>
    </cfRule>
  </conditionalFormatting>
  <conditionalFormatting sqref="A4:XFD4">
    <cfRule type="expression" dxfId="0" priority="1">
      <formula>LEFT($A$4,1) &lt;&gt; "0"</formula>
    </cfRule>
  </conditionalFormatting>
  <hyperlinks>
    <hyperlink ref="B5:F5" location="'Model map'!A1" display="Click here to return to model map" xr:uid="{00000000-0004-0000-1C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28515625" style="3" hidden="1"/>
  </cols>
  <sheetData>
    <row r="1" spans="1:9" s="1" customFormat="1" x14ac:dyDescent="0.25">
      <c r="A1" s="1" t="str">
        <f ca="1">MID(CELL("filename",A1),FIND("]",CELL("filename",A1))+1,255)</f>
        <v>Model map</v>
      </c>
    </row>
    <row r="2" spans="1:9" s="1" customFormat="1" x14ac:dyDescent="0.25">
      <c r="A2" s="1" t="str">
        <f>Cover!D21&amp;" - "&amp;Cover!D23</f>
        <v xml:space="preserve">SHEPD  - Final </v>
      </c>
    </row>
    <row r="3" spans="1:9" s="5" customFormat="1" x14ac:dyDescent="0.25">
      <c r="A3" s="5" t="str">
        <f>Cover!D2&amp;" - "&amp;Cover!D8&amp;" v"&amp;Cover!D10&amp;" - "&amp;Cover!D19</f>
        <v>CDCM charging model - Release for charge setting v5 - 2021/22</v>
      </c>
    </row>
    <row r="5" spans="1:9" customFormat="1" x14ac:dyDescent="0.25">
      <c r="A5" s="9"/>
      <c r="B5" s="41" t="s">
        <v>107</v>
      </c>
      <c r="C5" s="41"/>
      <c r="D5" s="41"/>
      <c r="E5" s="41"/>
      <c r="F5" s="41"/>
      <c r="G5" s="41"/>
      <c r="H5" s="41"/>
      <c r="I5" s="41"/>
    </row>
    <row r="7" spans="1:9" ht="15" customHeight="1" x14ac:dyDescent="0.25">
      <c r="F7" s="55"/>
      <c r="G7" s="55"/>
      <c r="H7" s="56"/>
      <c r="I7" s="56"/>
    </row>
    <row r="8" spans="1:9" ht="15" customHeight="1" x14ac:dyDescent="0.25">
      <c r="F8" s="55"/>
      <c r="G8" s="55"/>
    </row>
    <row r="9" spans="1:9" ht="15" customHeight="1" x14ac:dyDescent="0.25">
      <c r="F9" s="55"/>
      <c r="G9" s="55"/>
      <c r="H9" s="55"/>
      <c r="I9" s="55"/>
    </row>
    <row r="10" spans="1:9" ht="15" customHeight="1" x14ac:dyDescent="0.25">
      <c r="F10" s="55"/>
      <c r="G10" s="55"/>
      <c r="H10" s="55"/>
      <c r="I10" s="55"/>
    </row>
    <row r="11" spans="1:9" ht="15" customHeight="1" x14ac:dyDescent="0.25">
      <c r="F11" s="55"/>
      <c r="G11" s="55"/>
      <c r="H11" s="55"/>
      <c r="I11" s="3"/>
    </row>
    <row r="12" spans="1:9" ht="15" customHeight="1" x14ac:dyDescent="0.25">
      <c r="F12" s="55"/>
      <c r="H12" s="55"/>
      <c r="I12" s="3"/>
    </row>
    <row r="13" spans="1:9" ht="15" customHeight="1" x14ac:dyDescent="0.25">
      <c r="F13" s="55"/>
      <c r="H13" s="55"/>
      <c r="I13" s="3"/>
    </row>
    <row r="14" spans="1:9" ht="15" customHeight="1" x14ac:dyDescent="0.25">
      <c r="F14" s="55"/>
      <c r="H14" s="55"/>
      <c r="I14" s="3"/>
    </row>
    <row r="15" spans="1:9" x14ac:dyDescent="0.25">
      <c r="F15" s="57"/>
      <c r="G15" s="57"/>
      <c r="H15" s="57"/>
      <c r="I15" s="57"/>
    </row>
    <row r="16" spans="1:9" ht="15" customHeight="1" x14ac:dyDescent="0.25">
      <c r="H16" s="57"/>
      <c r="I16" s="57"/>
    </row>
    <row r="17" spans="6:9" ht="15" customHeight="1" x14ac:dyDescent="0.25">
      <c r="H17" s="57"/>
      <c r="I17" s="57"/>
    </row>
    <row r="18" spans="6:9" ht="15" customHeight="1" x14ac:dyDescent="0.25">
      <c r="H18" s="57"/>
      <c r="I18" s="57"/>
    </row>
    <row r="19" spans="6:9" ht="15" customHeight="1" x14ac:dyDescent="0.25">
      <c r="F19" s="57"/>
      <c r="G19" s="57"/>
      <c r="H19" s="57"/>
      <c r="I19" s="57"/>
    </row>
    <row r="20" spans="6:9" ht="15" customHeight="1" x14ac:dyDescent="0.25">
      <c r="F20" s="57"/>
      <c r="G20" s="57"/>
      <c r="H20" s="57"/>
      <c r="I20" s="57"/>
    </row>
    <row r="21" spans="6:9" ht="15" customHeight="1" x14ac:dyDescent="0.25">
      <c r="F21" s="57"/>
      <c r="G21" s="57"/>
      <c r="H21" s="57"/>
      <c r="I21" s="57"/>
    </row>
    <row r="22" spans="6:9" ht="15" customHeight="1" x14ac:dyDescent="0.25">
      <c r="F22" s="57"/>
      <c r="G22" s="57"/>
      <c r="H22" s="57"/>
      <c r="I22" s="57"/>
    </row>
    <row r="23" spans="6:9" ht="15" customHeight="1" x14ac:dyDescent="0.25">
      <c r="F23" s="57"/>
      <c r="G23" s="57"/>
      <c r="H23" s="57"/>
      <c r="I23" s="57"/>
    </row>
    <row r="24" spans="6:9" ht="15" customHeight="1" x14ac:dyDescent="0.25">
      <c r="F24" s="57"/>
      <c r="G24" s="57"/>
      <c r="H24" s="57"/>
      <c r="I24" s="57"/>
    </row>
    <row r="25" spans="6:9" ht="15" customHeight="1" x14ac:dyDescent="0.25">
      <c r="F25" s="57"/>
      <c r="G25" s="57"/>
      <c r="H25" s="57"/>
      <c r="I25" s="57"/>
    </row>
    <row r="26" spans="6:9" ht="15" customHeight="1" x14ac:dyDescent="0.25">
      <c r="F26" s="57"/>
      <c r="G26" s="57"/>
      <c r="H26" s="57"/>
      <c r="I26" s="57"/>
    </row>
    <row r="27" spans="6:9" ht="15" customHeight="1" x14ac:dyDescent="0.25">
      <c r="F27" s="57"/>
      <c r="G27" s="57"/>
      <c r="H27" s="57"/>
      <c r="I27" s="57"/>
    </row>
    <row r="28" spans="6:9" ht="15" customHeight="1" x14ac:dyDescent="0.25">
      <c r="F28" s="57"/>
      <c r="G28" s="57"/>
      <c r="H28" s="57"/>
      <c r="I28" s="57"/>
    </row>
    <row r="29" spans="6:9" ht="15" customHeight="1" x14ac:dyDescent="0.25">
      <c r="F29" s="57"/>
      <c r="G29" s="57"/>
      <c r="H29" s="57"/>
      <c r="I29" s="57"/>
    </row>
    <row r="30" spans="6:9" ht="15" customHeight="1" x14ac:dyDescent="0.25">
      <c r="F30" s="57"/>
      <c r="G30" s="57"/>
      <c r="H30" s="57"/>
      <c r="I30" s="57"/>
    </row>
    <row r="31" spans="6:9" ht="15" customHeight="1" x14ac:dyDescent="0.25">
      <c r="F31" s="57"/>
      <c r="G31" s="57"/>
      <c r="H31" s="57"/>
      <c r="I31" s="57"/>
    </row>
    <row r="32" spans="6:9" ht="15" customHeight="1" x14ac:dyDescent="0.25">
      <c r="F32" s="57"/>
      <c r="G32" s="57"/>
      <c r="H32" s="57"/>
      <c r="I32" s="57"/>
    </row>
    <row r="33" spans="6:9" ht="15" customHeight="1" x14ac:dyDescent="0.25">
      <c r="F33" s="57"/>
      <c r="G33" s="57"/>
      <c r="H33" s="57"/>
      <c r="I33" s="57"/>
    </row>
    <row r="34" spans="6:9" customFormat="1" x14ac:dyDescent="0.25">
      <c r="F34" s="57"/>
      <c r="G34" s="57"/>
      <c r="H34" s="57"/>
      <c r="I34" s="57"/>
    </row>
    <row r="35" spans="6:9" customFormat="1" x14ac:dyDescent="0.25">
      <c r="F35" s="57"/>
      <c r="G35" s="57"/>
      <c r="H35" s="57"/>
      <c r="I35" s="57"/>
    </row>
    <row r="36" spans="6:9" customFormat="1" x14ac:dyDescent="0.25">
      <c r="F36" s="57"/>
      <c r="G36" s="57"/>
      <c r="H36" s="57"/>
      <c r="I36" s="57"/>
    </row>
    <row r="37" spans="6:9" customFormat="1" x14ac:dyDescent="0.25">
      <c r="F37" s="57"/>
      <c r="G37" s="57"/>
      <c r="H37" s="57"/>
      <c r="I37" s="57"/>
    </row>
    <row r="38" spans="6:9" customFormat="1" x14ac:dyDescent="0.25">
      <c r="F38" s="57"/>
      <c r="G38" s="57"/>
      <c r="H38" s="57"/>
      <c r="I38" s="57"/>
    </row>
    <row r="39" spans="6:9" customFormat="1" x14ac:dyDescent="0.25">
      <c r="F39" s="57"/>
      <c r="G39" s="57"/>
      <c r="H39" s="57"/>
      <c r="I39" s="57"/>
    </row>
    <row r="40" spans="6:9" customFormat="1" x14ac:dyDescent="0.25">
      <c r="F40" s="57"/>
      <c r="G40" s="57"/>
      <c r="H40" s="57"/>
      <c r="I40" s="57"/>
    </row>
    <row r="41" spans="6:9" ht="15" customHeight="1" x14ac:dyDescent="0.25">
      <c r="F41" s="57"/>
      <c r="G41" s="57"/>
      <c r="H41" s="57"/>
      <c r="I41" s="57"/>
    </row>
    <row r="42" spans="6:9" ht="15" customHeight="1" x14ac:dyDescent="0.25">
      <c r="F42" s="57"/>
      <c r="G42" s="57"/>
      <c r="H42" s="57"/>
      <c r="I42" s="57"/>
    </row>
    <row r="43" spans="6:9" ht="15" customHeight="1" x14ac:dyDescent="0.25">
      <c r="F43" s="57"/>
      <c r="G43" s="57"/>
      <c r="H43" s="57"/>
      <c r="I43" s="57"/>
    </row>
    <row r="44" spans="6:9" ht="15" customHeight="1" x14ac:dyDescent="0.25">
      <c r="F44" s="57"/>
      <c r="G44" s="57"/>
      <c r="H44" s="57"/>
      <c r="I44" s="57"/>
    </row>
    <row r="45" spans="6:9" ht="15" customHeight="1" x14ac:dyDescent="0.25">
      <c r="F45" s="57"/>
      <c r="G45" s="57"/>
      <c r="H45" s="57"/>
      <c r="I45" s="57"/>
    </row>
    <row r="46" spans="6:9" ht="15" customHeight="1" x14ac:dyDescent="0.25">
      <c r="F46" s="57"/>
      <c r="G46" s="57"/>
      <c r="H46" s="57"/>
      <c r="I46" s="57"/>
    </row>
    <row r="47" spans="6:9" ht="15" customHeight="1" x14ac:dyDescent="0.25">
      <c r="F47" s="39"/>
      <c r="H47" s="3"/>
      <c r="I47" s="3"/>
    </row>
    <row r="51" spans="1:10" customFormat="1" x14ac:dyDescent="0.25">
      <c r="A51" s="9"/>
      <c r="B51" s="9"/>
      <c r="C51" s="9"/>
      <c r="D51" s="9"/>
      <c r="E51" s="9"/>
      <c r="F51" s="9"/>
      <c r="G51" s="9"/>
      <c r="H51" s="9"/>
      <c r="I51" s="9"/>
      <c r="J51" s="9"/>
    </row>
    <row r="62" spans="1:10" ht="15" customHeight="1" x14ac:dyDescent="0.25">
      <c r="A62" s="41" t="s">
        <v>106</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U215"/>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71093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28515625" hidden="1"/>
  </cols>
  <sheetData>
    <row r="1" spans="1:7" s="1" customFormat="1" x14ac:dyDescent="0.25">
      <c r="A1" s="1" t="str">
        <f ca="1">MID(CELL("filename",A1),FIND("]",CELL("filename",A1))+1,255)</f>
        <v>Index</v>
      </c>
    </row>
    <row r="2" spans="1:7" s="1" customFormat="1" x14ac:dyDescent="0.25">
      <c r="A2" s="1" t="str">
        <f>Cover!D21&amp;" - "&amp;Cover!D23</f>
        <v xml:space="preserve">SHEPD  - Final </v>
      </c>
    </row>
    <row r="3" spans="1:7" s="5" customFormat="1" x14ac:dyDescent="0.25">
      <c r="A3" s="5" t="str">
        <f>Cover!D2&amp;" - "&amp;Cover!D8&amp;" v"&amp;Cover!D10&amp;" - "&amp;Cover!D19</f>
        <v>CDCM charging model - Release for charge setting v5 - 2021/22</v>
      </c>
    </row>
    <row r="5" spans="1:7" x14ac:dyDescent="0.25">
      <c r="B5" s="30" t="s">
        <v>10</v>
      </c>
      <c r="C5" s="30"/>
      <c r="D5" s="30"/>
      <c r="E5" s="30"/>
      <c r="F5" s="30"/>
      <c r="G5" s="30"/>
    </row>
    <row r="7" spans="1:7" x14ac:dyDescent="0.25">
      <c r="C7" s="29" t="s">
        <v>108</v>
      </c>
    </row>
    <row r="8" spans="1:7" x14ac:dyDescent="0.25">
      <c r="C8" s="29" t="s">
        <v>109</v>
      </c>
    </row>
    <row r="10" spans="1:7" x14ac:dyDescent="0.25">
      <c r="B10" s="30" t="s">
        <v>110</v>
      </c>
      <c r="C10" s="30"/>
      <c r="D10" s="30"/>
      <c r="E10" s="30"/>
      <c r="F10" s="30"/>
      <c r="G10" s="30"/>
    </row>
    <row r="12" spans="1:7" x14ac:dyDescent="0.25">
      <c r="C12" s="29" t="s">
        <v>111</v>
      </c>
    </row>
    <row r="14" spans="1:7" ht="15.75" thickBot="1" x14ac:dyDescent="0.3">
      <c r="F14" s="334" t="s">
        <v>112</v>
      </c>
      <c r="G14" s="298" t="s">
        <v>113</v>
      </c>
    </row>
    <row r="15" spans="1:7" ht="16.5" thickTop="1" thickBot="1" x14ac:dyDescent="0.3">
      <c r="F15" s="300" t="s">
        <v>114</v>
      </c>
    </row>
    <row r="16" spans="1:7" ht="15.75" thickTop="1" x14ac:dyDescent="0.25">
      <c r="F16" s="300" t="s">
        <v>115</v>
      </c>
      <c r="G16" s="58" t="str">
        <f>'Version control'!$B$5</f>
        <v>Model version</v>
      </c>
    </row>
    <row r="17" spans="6:7" x14ac:dyDescent="0.25">
      <c r="F17" s="299" t="s">
        <v>116</v>
      </c>
      <c r="G17" s="58" t="str">
        <f>'Version control'!$B$17</f>
        <v>Version log</v>
      </c>
    </row>
    <row r="18" spans="6:7" x14ac:dyDescent="0.25">
      <c r="F18" s="299" t="s">
        <v>116</v>
      </c>
      <c r="G18" s="58" t="str">
        <f>'Version control'!$B$31</f>
        <v>Model checks</v>
      </c>
    </row>
    <row r="19" spans="6:7" ht="15.75" thickBot="1" x14ac:dyDescent="0.3">
      <c r="F19" s="299" t="s">
        <v>116</v>
      </c>
      <c r="G19" s="58" t="str">
        <f>'Version control'!$B$60</f>
        <v>Version log lists</v>
      </c>
    </row>
    <row r="20" spans="6:7" ht="16.5" thickTop="1" thickBot="1" x14ac:dyDescent="0.3">
      <c r="F20" s="300" t="s">
        <v>107</v>
      </c>
      <c r="G20" s="58" t="str">
        <f>'Model map'!$B$5</f>
        <v>Model map</v>
      </c>
    </row>
    <row r="21" spans="6:7" ht="16.5" thickTop="1" thickBot="1" x14ac:dyDescent="0.3">
      <c r="F21" s="300" t="s">
        <v>117</v>
      </c>
      <c r="G21" s="58" t="str">
        <f>'Named ranges'!$B$5</f>
        <v>List of named ranges</v>
      </c>
    </row>
    <row r="22" spans="6:7" ht="16.5" thickTop="1" thickBot="1" x14ac:dyDescent="0.3">
      <c r="F22" s="302" t="s">
        <v>53</v>
      </c>
      <c r="G22" s="58" t="str">
        <f>'Fixed inputs'!$B$11</f>
        <v>Fixed inputs</v>
      </c>
    </row>
    <row r="23" spans="6:7" ht="16.5" thickTop="1" thickBot="1" x14ac:dyDescent="0.3">
      <c r="F23" s="302" t="s">
        <v>56</v>
      </c>
      <c r="G23" s="58" t="str">
        <f>'Inputs by customer type'!$B$11</f>
        <v>Inputs by customer type</v>
      </c>
    </row>
    <row r="24" spans="6:7" ht="16.5" thickTop="1" thickBot="1" x14ac:dyDescent="0.3">
      <c r="F24" s="302" t="s">
        <v>58</v>
      </c>
      <c r="G24" s="58" t="str">
        <f>'Inputs by network level'!$B$11</f>
        <v>Inputs by network level</v>
      </c>
    </row>
    <row r="25" spans="6:7" ht="16.5" thickTop="1" thickBot="1" x14ac:dyDescent="0.3">
      <c r="F25" s="302" t="s">
        <v>60</v>
      </c>
      <c r="G25" s="58" t="str">
        <f>'General inputs'!$B$11</f>
        <v>General inputs</v>
      </c>
    </row>
    <row r="26" spans="6:7" ht="16.5" thickTop="1" thickBot="1" x14ac:dyDescent="0.3">
      <c r="F26" s="304" t="s">
        <v>120</v>
      </c>
      <c r="G26" s="58" t="str">
        <f>'Standing charge factors'!$B$17</f>
        <v>Adjustments to standing charges</v>
      </c>
    </row>
    <row r="27" spans="6:7" ht="15.75" thickTop="1" x14ac:dyDescent="0.25">
      <c r="F27" s="304" t="s">
        <v>64</v>
      </c>
      <c r="G27" s="58" t="str">
        <f>'Load &amp; loss characteristics'!$B$13</f>
        <v>Load and loss characteristics</v>
      </c>
    </row>
    <row r="28" spans="6:7" ht="15.75" thickBot="1" x14ac:dyDescent="0.3">
      <c r="F28" s="303" t="s">
        <v>116</v>
      </c>
      <c r="G28" s="58" t="str">
        <f>'Load &amp; loss characteristics'!$B$31</f>
        <v>User loss factor adjustments</v>
      </c>
    </row>
    <row r="29" spans="6:7" ht="16.5" thickTop="1" thickBot="1" x14ac:dyDescent="0.3">
      <c r="F29" s="304" t="s">
        <v>66</v>
      </c>
      <c r="G29" s="58" t="str">
        <f>'Customer contributions'!$B$12</f>
        <v>Customer contributions</v>
      </c>
    </row>
    <row r="30" spans="6:7" ht="15.75" thickTop="1" x14ac:dyDescent="0.25">
      <c r="F30" s="304" t="s">
        <v>68</v>
      </c>
      <c r="G30" s="58" t="str">
        <f>'Volume adjustments'!$B$13</f>
        <v>LDNO discounts</v>
      </c>
    </row>
    <row r="31" spans="6:7" ht="15.75" thickBot="1" x14ac:dyDescent="0.3">
      <c r="F31" s="303" t="s">
        <v>116</v>
      </c>
      <c r="G31" s="58" t="str">
        <f>'Volume adjustments'!$B$51</f>
        <v>Volume discounting</v>
      </c>
    </row>
    <row r="32" spans="6:7" ht="15.75" thickTop="1" x14ac:dyDescent="0.25">
      <c r="F32" s="304" t="s">
        <v>70</v>
      </c>
      <c r="G32" s="58" t="str">
        <f>'Pseudo-load coefficients'!$B$13</f>
        <v>Step 1: Ratio of coincidence to load factor assuming units evenly spread within time bands, and peak falls in Red period</v>
      </c>
    </row>
    <row r="33" spans="6:7" x14ac:dyDescent="0.25">
      <c r="F33" s="303" t="s">
        <v>116</v>
      </c>
      <c r="G33" s="58" t="str">
        <f>'Pseudo-load coefficients'!$B$56</f>
        <v>Step 2: Calculate correction factor</v>
      </c>
    </row>
    <row r="34" spans="6:7" x14ac:dyDescent="0.25">
      <c r="F34" s="303" t="s">
        <v>116</v>
      </c>
      <c r="G34" s="58" t="str">
        <f>'Pseudo-load coefficients'!$B$95</f>
        <v>Step 3: Ratio of coincidence factor (to network asset peak) to load factor, given peaking probabilities, multiplied by correction factor</v>
      </c>
    </row>
    <row r="35" spans="6:7" ht="15.75" thickBot="1" x14ac:dyDescent="0.3">
      <c r="F35" s="303" t="s">
        <v>116</v>
      </c>
      <c r="G35" s="58" t="str">
        <f>'Pseudo-load coefficients'!$B$261</f>
        <v>Step 4: Results of Step 3</v>
      </c>
    </row>
    <row r="36" spans="6:7" ht="15.75" thickTop="1" x14ac:dyDescent="0.25">
      <c r="F36" s="304" t="s">
        <v>72</v>
      </c>
      <c r="G36" s="58" t="str">
        <f>'System peak demand'!$B$16</f>
        <v>Common inputs for chargeable load calculations</v>
      </c>
    </row>
    <row r="37" spans="6:7" x14ac:dyDescent="0.25">
      <c r="F37" s="303" t="s">
        <v>116</v>
      </c>
      <c r="G37" s="58" t="str">
        <f>'System peak demand'!$B$63</f>
        <v>Load at system peak charged to unit rates</v>
      </c>
    </row>
    <row r="38" spans="6:7" x14ac:dyDescent="0.25">
      <c r="F38" s="303" t="s">
        <v>116</v>
      </c>
      <c r="G38" s="58" t="str">
        <f>'System peak demand'!$B$179</f>
        <v>Load at system peak charged to standing charges</v>
      </c>
    </row>
    <row r="39" spans="6:7" ht="15.75" thickBot="1" x14ac:dyDescent="0.3">
      <c r="F39" s="303" t="s">
        <v>116</v>
      </c>
      <c r="G39" s="58" t="str">
        <f>'System peak demand'!$B$262</f>
        <v>System peak based on chargeable load</v>
      </c>
    </row>
    <row r="40" spans="6:7" ht="16.5" thickTop="1" thickBot="1" x14ac:dyDescent="0.3">
      <c r="F40" s="304" t="s">
        <v>74</v>
      </c>
      <c r="G40" s="58" t="str">
        <f>'Service model assets'!$B$12</f>
        <v>Service model notional asset values</v>
      </c>
    </row>
    <row r="41" spans="6:7" ht="15.75" thickTop="1" x14ac:dyDescent="0.25">
      <c r="F41" s="304" t="s">
        <v>76</v>
      </c>
      <c r="G41" s="58" t="str">
        <f>'Unit costs'!$B$15</f>
        <v>500MW model costs</v>
      </c>
    </row>
    <row r="42" spans="6:7" x14ac:dyDescent="0.25">
      <c r="F42" s="303" t="s">
        <v>116</v>
      </c>
      <c r="G42" s="58" t="str">
        <f>'Unit costs'!$B$58</f>
        <v>Allocation of other costs</v>
      </c>
    </row>
    <row r="43" spans="6:7" ht="15.75" thickBot="1" x14ac:dyDescent="0.3">
      <c r="F43" s="303" t="s">
        <v>116</v>
      </c>
      <c r="G43" s="58" t="str">
        <f>'Unit costs'!$B$102</f>
        <v>Outputs</v>
      </c>
    </row>
    <row r="44" spans="6:7" ht="15.75" thickTop="1" x14ac:dyDescent="0.25">
      <c r="F44" s="304" t="s">
        <v>78</v>
      </c>
      <c r="G44" s="58" t="str">
        <f>'Initial unit rates'!$B$11</f>
        <v>Inputs for yardstick and unit rate calculations</v>
      </c>
    </row>
    <row r="45" spans="6:7" ht="15.75" thickBot="1" x14ac:dyDescent="0.3">
      <c r="F45" s="303" t="s">
        <v>116</v>
      </c>
      <c r="G45" s="58" t="str">
        <f>'Initial unit rates'!$B$116</f>
        <v>Calculation of yardstick &amp; unit rate charges</v>
      </c>
    </row>
    <row r="46" spans="6:7" ht="15.75" thickTop="1" x14ac:dyDescent="0.25">
      <c r="F46" s="304" t="s">
        <v>80</v>
      </c>
      <c r="G46" s="58" t="str">
        <f>'Service model charges'!$B$13</f>
        <v>Inputs to service model charge calculation</v>
      </c>
    </row>
    <row r="47" spans="6:7" ht="15.75" thickBot="1" x14ac:dyDescent="0.3">
      <c r="F47" s="303" t="s">
        <v>116</v>
      </c>
      <c r="G47" s="58" t="str">
        <f>'Service model charges'!$B$29</f>
        <v>Allocation of service model costs</v>
      </c>
    </row>
    <row r="48" spans="6:7" ht="15.75" thickTop="1" x14ac:dyDescent="0.25">
      <c r="F48" s="304" t="s">
        <v>82</v>
      </c>
      <c r="G48" s="58" t="str">
        <f>'Unit rate charges'!$B$15</f>
        <v>Inputs to unit rate charge calculations</v>
      </c>
    </row>
    <row r="49" spans="6:7" ht="15.75" thickBot="1" x14ac:dyDescent="0.3">
      <c r="F49" s="303" t="s">
        <v>116</v>
      </c>
      <c r="G49" s="58" t="str">
        <f>'Unit rate charges'!$B$122</f>
        <v>Application of standing charges to unit rates</v>
      </c>
    </row>
    <row r="50" spans="6:7" ht="15.75" thickTop="1" x14ac:dyDescent="0.25">
      <c r="F50" s="304" t="s">
        <v>84</v>
      </c>
      <c r="G50" s="58" t="str">
        <f>'Reactive power charges'!$B$13</f>
        <v>Inputs to reactive power charge calculations</v>
      </c>
    </row>
    <row r="51" spans="6:7" x14ac:dyDescent="0.25">
      <c r="F51" s="303" t="s">
        <v>116</v>
      </c>
      <c r="G51" s="58" t="str">
        <f>'Reactive power charges'!$B$150</f>
        <v>Calculation of yardstick charges for generation</v>
      </c>
    </row>
    <row r="52" spans="6:7" ht="15.75" thickBot="1" x14ac:dyDescent="0.3">
      <c r="F52" s="303" t="s">
        <v>116</v>
      </c>
      <c r="G52" s="58" t="str">
        <f>'Reactive power charges'!$B$185</f>
        <v>Calculation of reactive power charges</v>
      </c>
    </row>
    <row r="53" spans="6:7" ht="15.75" thickTop="1" x14ac:dyDescent="0.25">
      <c r="F53" s="304" t="s">
        <v>86</v>
      </c>
      <c r="G53" s="58" t="str">
        <f>'Capacity charges'!$B$17</f>
        <v>Inputs to capacity charge calculations</v>
      </c>
    </row>
    <row r="54" spans="6:7" x14ac:dyDescent="0.25">
      <c r="F54" s="303" t="s">
        <v>116</v>
      </c>
      <c r="G54" s="58" t="str">
        <f>'Capacity charges'!$B$125</f>
        <v>Calculation of capacity charges</v>
      </c>
    </row>
    <row r="55" spans="6:7" ht="15.75" thickBot="1" x14ac:dyDescent="0.3">
      <c r="F55" s="303" t="s">
        <v>116</v>
      </c>
      <c r="G55" s="58" t="str">
        <f>'Capacity charges'!$B$249</f>
        <v>Capacity charges (and elements allocated to fixed charges)</v>
      </c>
    </row>
    <row r="56" spans="6:7" ht="15.75" thickTop="1" x14ac:dyDescent="0.25">
      <c r="F56" s="304" t="s">
        <v>88</v>
      </c>
      <c r="G56" s="58" t="str">
        <f>'Fixed charges'!$B$14</f>
        <v>Inputs to fixed charge calculations</v>
      </c>
    </row>
    <row r="57" spans="6:7" ht="15.75" thickBot="1" x14ac:dyDescent="0.3">
      <c r="F57" s="303" t="s">
        <v>116</v>
      </c>
      <c r="G57" s="58" t="str">
        <f>'Fixed charges'!$B$65</f>
        <v>Calculation of fixed charges</v>
      </c>
    </row>
    <row r="58" spans="6:7" ht="15.75" thickTop="1" x14ac:dyDescent="0.25">
      <c r="F58" s="304" t="s">
        <v>90</v>
      </c>
      <c r="G58" s="58" t="str">
        <f>'Revenue matching'!$B$13</f>
        <v>Pre-matching net revenue calculations</v>
      </c>
    </row>
    <row r="59" spans="6:7" ht="15.75" thickBot="1" x14ac:dyDescent="0.3">
      <c r="F59" s="303" t="s">
        <v>116</v>
      </c>
      <c r="G59" s="58" t="str">
        <f>'Revenue matching'!$B$62</f>
        <v>Adder calculation</v>
      </c>
    </row>
    <row r="60" spans="6:7" ht="16.5" thickTop="1" thickBot="1" x14ac:dyDescent="0.3">
      <c r="F60" s="304" t="s">
        <v>1046</v>
      </c>
      <c r="G60" s="58" t="str">
        <f>'Fixed charge adder'!$B$12</f>
        <v>Fixed tariff adjustments</v>
      </c>
    </row>
    <row r="61" spans="6:7" ht="15.75" thickTop="1" x14ac:dyDescent="0.25">
      <c r="F61" s="304" t="s">
        <v>92</v>
      </c>
      <c r="G61" s="58" t="str">
        <f>Rounding!$B$12</f>
        <v>Inputs</v>
      </c>
    </row>
    <row r="62" spans="6:7" ht="15.75" thickBot="1" x14ac:dyDescent="0.3">
      <c r="F62" s="303" t="s">
        <v>116</v>
      </c>
      <c r="G62" s="58" t="str">
        <f>Rounding!$B$83</f>
        <v>Rounding of tariff forecast</v>
      </c>
    </row>
    <row r="63" spans="6:7" ht="15.75" thickTop="1" x14ac:dyDescent="0.25">
      <c r="F63" s="304" t="s">
        <v>94</v>
      </c>
      <c r="G63" s="58" t="str">
        <f>'Net revenue summary'!$B$11</f>
        <v>Inputs to net revenue summary calculation</v>
      </c>
    </row>
    <row r="64" spans="6:7" x14ac:dyDescent="0.25">
      <c r="F64" s="303" t="s">
        <v>116</v>
      </c>
      <c r="G64" s="58" t="str">
        <f>'Net revenue summary'!$B$79</f>
        <v>Typical bills</v>
      </c>
    </row>
    <row r="65" spans="2:7" x14ac:dyDescent="0.25">
      <c r="F65" s="303" t="s">
        <v>116</v>
      </c>
      <c r="G65" s="58" t="str">
        <f>'Net revenue summary'!$B$138</f>
        <v>Comparison with previous year</v>
      </c>
    </row>
    <row r="66" spans="2:7" ht="15.75" thickBot="1" x14ac:dyDescent="0.3">
      <c r="F66" s="303" t="s">
        <v>116</v>
      </c>
      <c r="G66" s="58" t="str">
        <f>'Net revenue summary'!$B$164</f>
        <v>LDNO margins</v>
      </c>
    </row>
    <row r="67" spans="2:7" ht="16.5" thickTop="1" thickBot="1" x14ac:dyDescent="0.3">
      <c r="F67" s="306" t="s">
        <v>96</v>
      </c>
      <c r="G67" s="58" t="str">
        <f>'Tariff summary'!$B$11</f>
        <v>Tariff summary</v>
      </c>
    </row>
    <row r="68" spans="2:7" ht="15.75" thickTop="1" x14ac:dyDescent="0.25">
      <c r="F68" s="306" t="s">
        <v>98</v>
      </c>
      <c r="G68" s="58" t="str">
        <f>'Output to other models'!$B$12</f>
        <v>Outputs for PCDM</v>
      </c>
    </row>
    <row r="69" spans="2:7" x14ac:dyDescent="0.25">
      <c r="F69" s="305" t="s">
        <v>116</v>
      </c>
      <c r="G69" s="58" t="str">
        <f>'Output to other models'!$B$25</f>
        <v>Outputs for EDCM</v>
      </c>
    </row>
    <row r="70" spans="2:7" x14ac:dyDescent="0.25">
      <c r="F70" s="305" t="s">
        <v>116</v>
      </c>
      <c r="G70" s="58" t="str">
        <f>'Output to other models'!$B$55</f>
        <v>Outputs for users' internal use</v>
      </c>
    </row>
    <row r="72" spans="2:7" x14ac:dyDescent="0.25">
      <c r="B72" s="30" t="s">
        <v>118</v>
      </c>
      <c r="C72" s="30"/>
      <c r="D72" s="30"/>
      <c r="E72" s="30"/>
      <c r="F72" s="30"/>
      <c r="G72" s="30"/>
    </row>
    <row r="74" spans="2:7" x14ac:dyDescent="0.25">
      <c r="C74" s="29" t="s">
        <v>119</v>
      </c>
    </row>
    <row r="76" spans="2:7" ht="15.75" thickBot="1" x14ac:dyDescent="0.3">
      <c r="F76" s="334" t="s">
        <v>112</v>
      </c>
      <c r="G76" s="298" t="s">
        <v>113</v>
      </c>
    </row>
    <row r="77" spans="2:7" ht="15.75" thickTop="1" x14ac:dyDescent="0.25">
      <c r="F77" s="302" t="s">
        <v>53</v>
      </c>
      <c r="G77" s="58" t="str">
        <f ca="1">'Fixed inputs'!$C$13</f>
        <v>Input 101-A: Conversions and time</v>
      </c>
    </row>
    <row r="78" spans="2:7" x14ac:dyDescent="0.25">
      <c r="F78" s="301" t="s">
        <v>116</v>
      </c>
      <c r="G78" s="58" t="str">
        <f ca="1">'Fixed inputs'!$C$20</f>
        <v>Input 101-B: Input 101-B: Rounding</v>
      </c>
    </row>
    <row r="79" spans="2:7" x14ac:dyDescent="0.25">
      <c r="F79" s="301" t="s">
        <v>116</v>
      </c>
      <c r="G79" s="58" t="str">
        <f ca="1">'Fixed inputs'!$C$33</f>
        <v>Input 101-C: Financial and general assumptions</v>
      </c>
    </row>
    <row r="80" spans="2:7" x14ac:dyDescent="0.25">
      <c r="F80" s="301" t="s">
        <v>116</v>
      </c>
      <c r="G80" s="58" t="str">
        <f ca="1">'Fixed inputs'!$C$43</f>
        <v>Input 101-D: Mappings</v>
      </c>
    </row>
    <row r="81" spans="6:7" x14ac:dyDescent="0.25">
      <c r="F81" s="301" t="s">
        <v>116</v>
      </c>
      <c r="G81" s="58" t="str">
        <f ca="1">'Fixed inputs'!$C$84</f>
        <v>Input 101-E: Standing charge factors</v>
      </c>
    </row>
    <row r="82" spans="6:7" x14ac:dyDescent="0.25">
      <c r="F82" s="301" t="s">
        <v>116</v>
      </c>
      <c r="G82" s="58" t="str">
        <f ca="1">'Fixed inputs'!$C$99</f>
        <v>Input 101-F: Flags</v>
      </c>
    </row>
    <row r="83" spans="6:7" x14ac:dyDescent="0.25">
      <c r="F83" s="301" t="s">
        <v>116</v>
      </c>
      <c r="G83" s="58" t="str">
        <f ca="1">'Fixed inputs'!$C$141</f>
        <v>Input 101-G: Identifiers for customer groupings</v>
      </c>
    </row>
    <row r="84" spans="6:7" x14ac:dyDescent="0.25">
      <c r="F84" s="301" t="s">
        <v>116</v>
      </c>
      <c r="G84" s="58" t="str">
        <f ca="1">'Fixed inputs'!$C$151</f>
        <v>Input 101-H: Decimal places for error checks</v>
      </c>
    </row>
    <row r="85" spans="6:7" ht="15.75" thickBot="1" x14ac:dyDescent="0.3">
      <c r="F85" s="301" t="s">
        <v>116</v>
      </c>
      <c r="G85" s="58" t="str">
        <f ca="1">'Fixed inputs'!$C$155</f>
        <v>Input 101-I: Map of applicable MPANs</v>
      </c>
    </row>
    <row r="86" spans="6:7" ht="15.75" thickTop="1" x14ac:dyDescent="0.25">
      <c r="F86" s="302" t="s">
        <v>56</v>
      </c>
      <c r="G86" s="58" t="str">
        <f ca="1">'Inputs by customer type'!$C$13</f>
        <v>Input 102-A: Load characteristics</v>
      </c>
    </row>
    <row r="87" spans="6:7" x14ac:dyDescent="0.25">
      <c r="F87" s="301" t="s">
        <v>116</v>
      </c>
      <c r="G87" s="58" t="str">
        <f ca="1">'Inputs by customer type'!$C$18</f>
        <v>Input 102-B: Volume forecasts for the charging year</v>
      </c>
    </row>
    <row r="88" spans="6:7" x14ac:dyDescent="0.25">
      <c r="F88" s="301" t="s">
        <v>116</v>
      </c>
      <c r="G88" s="58" t="str">
        <f ca="1">'Inputs by customer type'!$C$49</f>
        <v>Input 102-C: Service model asset values</v>
      </c>
    </row>
    <row r="89" spans="6:7" x14ac:dyDescent="0.25">
      <c r="F89" s="301" t="s">
        <v>116</v>
      </c>
      <c r="G89" s="58" t="str">
        <f ca="1">'Inputs by customer type'!$C$58</f>
        <v>Input 102-D: Previous year all-the-way tariff forecast</v>
      </c>
    </row>
    <row r="90" spans="6:7" ht="15.75" thickBot="1" x14ac:dyDescent="0.3">
      <c r="F90" s="301" t="s">
        <v>116</v>
      </c>
      <c r="G90" s="58" t="str">
        <f ca="1">'Inputs by customer type'!$C$72</f>
        <v>Input 102-E: Previous year net revenue (if known)</v>
      </c>
    </row>
    <row r="91" spans="6:7" ht="15.75" thickTop="1" x14ac:dyDescent="0.25">
      <c r="F91" s="302" t="s">
        <v>58</v>
      </c>
      <c r="G91" s="58" t="str">
        <f ca="1">'Inputs by network level'!$C$13</f>
        <v>Input 103-A: Network and load inputs</v>
      </c>
    </row>
    <row r="92" spans="6:7" x14ac:dyDescent="0.25">
      <c r="F92" s="301" t="s">
        <v>116</v>
      </c>
      <c r="G92" s="58" t="str">
        <f ca="1">'Inputs by network level'!$C$23</f>
        <v>Input 103-B: Customer contributions under current connection charging policy</v>
      </c>
    </row>
    <row r="93" spans="6:7" x14ac:dyDescent="0.25">
      <c r="F93" s="301" t="s">
        <v>116</v>
      </c>
      <c r="G93" s="58" t="str">
        <f ca="1">'Inputs by network level'!$C$31</f>
        <v>Input 103-C: DRM asset costs</v>
      </c>
    </row>
    <row r="94" spans="6:7" ht="15.75" thickBot="1" x14ac:dyDescent="0.3">
      <c r="F94" s="301" t="s">
        <v>116</v>
      </c>
      <c r="G94" s="58" t="str">
        <f ca="1">'Inputs by network level'!$C$35</f>
        <v>Input 103-D: Peaking probabilities by network level</v>
      </c>
    </row>
    <row r="95" spans="6:7" ht="15.75" thickTop="1" x14ac:dyDescent="0.25">
      <c r="F95" s="302" t="s">
        <v>60</v>
      </c>
      <c r="G95" s="58" t="str">
        <f ca="1">'General inputs'!$C$13</f>
        <v>Input 104-A: Inputs by distribution timeband</v>
      </c>
    </row>
    <row r="96" spans="6:7" x14ac:dyDescent="0.25">
      <c r="F96" s="301" t="s">
        <v>116</v>
      </c>
      <c r="G96" s="58" t="str">
        <f ca="1">'General inputs'!$C$25</f>
        <v>Input 104-B: LDNO discount inputs</v>
      </c>
    </row>
    <row r="97" spans="6:7" x14ac:dyDescent="0.25">
      <c r="F97" s="301" t="s">
        <v>116</v>
      </c>
      <c r="G97" s="58" t="str">
        <f ca="1">'General inputs'!$C$35</f>
        <v>Input 104-C: CDCM target revenue</v>
      </c>
    </row>
    <row r="98" spans="6:7" x14ac:dyDescent="0.25">
      <c r="F98" s="301" t="s">
        <v>116</v>
      </c>
      <c r="G98" s="58" t="str">
        <f ca="1">'General inputs'!$C$89</f>
        <v>Input 104-D: Financial and general assumptions</v>
      </c>
    </row>
    <row r="99" spans="6:7" x14ac:dyDescent="0.25">
      <c r="F99" s="301" t="s">
        <v>116</v>
      </c>
      <c r="G99" s="58" t="str">
        <f ca="1">'General inputs'!$C$95</f>
        <v>Input 104-E: Transmission exit charges</v>
      </c>
    </row>
    <row r="100" spans="6:7" ht="15.75" thickBot="1" x14ac:dyDescent="0.3">
      <c r="F100" s="301" t="s">
        <v>116</v>
      </c>
      <c r="G100" s="58" t="str">
        <f ca="1">'General inputs'!$C$99</f>
        <v>Input 104-F: Other expenditure</v>
      </c>
    </row>
    <row r="101" spans="6:7" ht="16.5" thickTop="1" thickBot="1" x14ac:dyDescent="0.3">
      <c r="F101" s="304" t="s">
        <v>120</v>
      </c>
      <c r="G101" s="58" t="str">
        <f ca="1">'Standing charge factors'!$C$19</f>
        <v>Section 101-A: Adjustments to standing charges</v>
      </c>
    </row>
    <row r="102" spans="6:7" ht="15.75" thickTop="1" x14ac:dyDescent="0.25">
      <c r="F102" s="304" t="s">
        <v>64</v>
      </c>
      <c r="G102" s="58" t="str">
        <f ca="1">'Load &amp; loss characteristics'!$C$17</f>
        <v>Section 102-A: Load characteristics</v>
      </c>
    </row>
    <row r="103" spans="6:7" x14ac:dyDescent="0.25">
      <c r="F103" s="303" t="s">
        <v>116</v>
      </c>
      <c r="G103" s="58" t="str">
        <f ca="1">'Load &amp; loss characteristics'!$C$25</f>
        <v>Section 102-B: Loss adjustment factors</v>
      </c>
    </row>
    <row r="104" spans="6:7" x14ac:dyDescent="0.25">
      <c r="F104" s="303" t="s">
        <v>116</v>
      </c>
      <c r="G104" s="58" t="str">
        <f ca="1">'Load &amp; loss characteristics'!$C$35</f>
        <v>Section 102-C: Proportion of relevant load going through 132kV/HV direct transformation</v>
      </c>
    </row>
    <row r="105" spans="6:7" x14ac:dyDescent="0.25">
      <c r="F105" s="303" t="s">
        <v>116</v>
      </c>
      <c r="G105" s="58" t="str">
        <f ca="1">'Load &amp; loss characteristics'!$C$40</f>
        <v>Section 102-D: Network use factors</v>
      </c>
    </row>
    <row r="106" spans="6:7" ht="15.75" thickBot="1" x14ac:dyDescent="0.3">
      <c r="F106" s="303" t="s">
        <v>116</v>
      </c>
      <c r="G106" s="58" t="str">
        <f ca="1">'Load &amp; loss characteristics'!$C$121</f>
        <v>Section 102-E: User loss factors</v>
      </c>
    </row>
    <row r="107" spans="6:7" ht="15.75" thickTop="1" x14ac:dyDescent="0.25">
      <c r="F107" s="304" t="s">
        <v>66</v>
      </c>
      <c r="G107" s="58" t="str">
        <f ca="1">'Customer contributions'!$C$16</f>
        <v>Section 103-A: Network use factors</v>
      </c>
    </row>
    <row r="108" spans="6:7" ht="15.75" thickBot="1" x14ac:dyDescent="0.3">
      <c r="F108" s="303" t="s">
        <v>116</v>
      </c>
      <c r="G108" s="58" t="str">
        <f ca="1">'Customer contributions'!$C$38</f>
        <v>Section 103-B: Customer contributions</v>
      </c>
    </row>
    <row r="109" spans="6:7" ht="15.75" thickTop="1" x14ac:dyDescent="0.25">
      <c r="F109" s="304" t="s">
        <v>68</v>
      </c>
      <c r="G109" s="58" t="str">
        <f ca="1">'Volume adjustments'!$C$15</f>
        <v>Section 104-A: LDNO discounts</v>
      </c>
    </row>
    <row r="110" spans="6:7" ht="15.75" thickBot="1" x14ac:dyDescent="0.3">
      <c r="F110" s="303" t="s">
        <v>116</v>
      </c>
      <c r="G110" s="58" t="str">
        <f ca="1">'Volume adjustments'!$C$55</f>
        <v>Section 104-B: Volume discounting</v>
      </c>
    </row>
    <row r="111" spans="6:7" ht="15.75" thickTop="1" x14ac:dyDescent="0.25">
      <c r="F111" s="304" t="s">
        <v>70</v>
      </c>
      <c r="G111" s="58" t="str">
        <f ca="1">'Pseudo-load coefficients'!$C$18</f>
        <v>Section 105-A: Flags and hours in timebands</v>
      </c>
    </row>
    <row r="112" spans="6:7" x14ac:dyDescent="0.25">
      <c r="F112" s="303" t="s">
        <v>116</v>
      </c>
      <c r="G112" s="58" t="str">
        <f ca="1">'Pseudo-load coefficients'!$C$28</f>
        <v>Section 105-B: Average load by timeband</v>
      </c>
    </row>
    <row r="113" spans="6:7" x14ac:dyDescent="0.25">
      <c r="F113" s="303" t="s">
        <v>116</v>
      </c>
      <c r="G113" s="58" t="str">
        <f ca="1">'Pseudo-load coefficients'!$C$36</f>
        <v>Section 105-C: Aggregated groups for pseudo-load coefficients</v>
      </c>
    </row>
    <row r="114" spans="6:7" x14ac:dyDescent="0.25">
      <c r="F114" s="303" t="s">
        <v>116</v>
      </c>
      <c r="G114" s="58" t="str">
        <f ca="1">'Pseudo-load coefficients'!$C$52</f>
        <v>Section 105-D: Ratio of coincidence to load factor assuming units evenly spread within time bands, and peak falls in Red period</v>
      </c>
    </row>
    <row r="115" spans="6:7" x14ac:dyDescent="0.25">
      <c r="F115" s="303" t="s">
        <v>116</v>
      </c>
      <c r="G115" s="58" t="str">
        <f ca="1">'Pseudo-load coefficients'!$C$60</f>
        <v>Section 105-E: Load characteristics for all customers</v>
      </c>
    </row>
    <row r="116" spans="6:7" x14ac:dyDescent="0.25">
      <c r="F116" s="303" t="s">
        <v>116</v>
      </c>
      <c r="G116" s="58" t="str">
        <f ca="1">'Pseudo-load coefficients'!$C$65</f>
        <v>Section 105-F: Aggregated load characteristics for grouped customers</v>
      </c>
    </row>
    <row r="117" spans="6:7" x14ac:dyDescent="0.25">
      <c r="F117" s="303" t="s">
        <v>116</v>
      </c>
      <c r="G117" s="58" t="str">
        <f ca="1">'Pseudo-load coefficients'!$C$87</f>
        <v>Section 105-G: Calculation of correction factor</v>
      </c>
    </row>
    <row r="118" spans="6:7" x14ac:dyDescent="0.25">
      <c r="F118" s="303" t="s">
        <v>116</v>
      </c>
      <c r="G118" s="58" t="str">
        <f ca="1">'Pseudo-load coefficients'!$C$100</f>
        <v>Section 105-H: Peaking probabilities, by network level</v>
      </c>
    </row>
    <row r="119" spans="6:7" x14ac:dyDescent="0.25">
      <c r="F119" s="303" t="s">
        <v>116</v>
      </c>
      <c r="G119" s="58" t="str">
        <f ca="1">'Pseudo-load coefficients'!$C$174</f>
        <v>Section 105-I: Peaking probabilities, by network level and customer type</v>
      </c>
    </row>
    <row r="120" spans="6:7" x14ac:dyDescent="0.25">
      <c r="F120" s="303" t="s">
        <v>116</v>
      </c>
      <c r="G120" s="58" t="str">
        <f ca="1">'Pseudo-load coefficients'!$C$221</f>
        <v>Section 105-J: Ratio of coincidence factor to load factor, based on uniform distribution in timebands and peaking probabilities</v>
      </c>
    </row>
    <row r="121" spans="6:7" x14ac:dyDescent="0.25">
      <c r="F121" s="303" t="s">
        <v>116</v>
      </c>
      <c r="G121" s="58" t="str">
        <f ca="1">'Pseudo-load coefficients'!$C$265</f>
        <v>Section 105-K: Load coefficient</v>
      </c>
    </row>
    <row r="122" spans="6:7" ht="15.75" thickBot="1" x14ac:dyDescent="0.3">
      <c r="F122" s="303" t="s">
        <v>116</v>
      </c>
      <c r="G122" s="58" t="str">
        <f ca="1">'Pseudo-load coefficients'!$C$269</f>
        <v>Section 105-L: Pseudo load coefficients, by unit rate</v>
      </c>
    </row>
    <row r="123" spans="6:7" ht="15.75" thickTop="1" x14ac:dyDescent="0.25">
      <c r="F123" s="304" t="s">
        <v>72</v>
      </c>
      <c r="G123" s="58" t="str">
        <f ca="1">'System peak demand'!$C$18</f>
        <v>Section 106-A: Common inputs for chargeable load calculations</v>
      </c>
    </row>
    <row r="124" spans="6:7" x14ac:dyDescent="0.25">
      <c r="F124" s="303" t="s">
        <v>116</v>
      </c>
      <c r="G124" s="58" t="str">
        <f ca="1">'System peak demand'!$C$67</f>
        <v>Section 106-B: System peak load, by unit rate</v>
      </c>
    </row>
    <row r="125" spans="6:7" x14ac:dyDescent="0.25">
      <c r="F125" s="303" t="s">
        <v>116</v>
      </c>
      <c r="G125" s="58" t="str">
        <f ca="1">'System peak demand'!$C$138</f>
        <v>Section 106-C: System peak load, all unit rates</v>
      </c>
    </row>
    <row r="126" spans="6:7" x14ac:dyDescent="0.25">
      <c r="F126" s="303" t="s">
        <v>116</v>
      </c>
      <c r="G126" s="58" t="str">
        <f ca="1">'System peak demand'!$C$164</f>
        <v>Section 106-D: Unit rate contributions to chargeable peak load</v>
      </c>
    </row>
    <row r="127" spans="6:7" x14ac:dyDescent="0.25">
      <c r="F127" s="303" t="s">
        <v>116</v>
      </c>
      <c r="G127" s="58" t="str">
        <f ca="1">'System peak demand'!$C$184</f>
        <v>Section 106-E: Adjustment of import and exceeded capacity</v>
      </c>
    </row>
    <row r="128" spans="6:7" x14ac:dyDescent="0.25">
      <c r="F128" s="303" t="s">
        <v>116</v>
      </c>
      <c r="G128" s="58" t="str">
        <f ca="1">'System peak demand'!$C$194</f>
        <v>Section 106-F: Calculation of LV circuit diversity factor</v>
      </c>
    </row>
    <row r="129" spans="6:7" x14ac:dyDescent="0.25">
      <c r="F129" s="303" t="s">
        <v>116</v>
      </c>
      <c r="G129" s="58" t="str">
        <f ca="1">'System peak demand'!$C$236</f>
        <v>Section 106-G: Import/exceeded capacity contribution to system peak</v>
      </c>
    </row>
    <row r="130" spans="6:7" x14ac:dyDescent="0.25">
      <c r="F130" s="303" t="s">
        <v>116</v>
      </c>
      <c r="G130" s="58" t="str">
        <f ca="1">'System peak demand'!$C$249</f>
        <v>Section 106-H: Estimated capacity contribution to system peak</v>
      </c>
    </row>
    <row r="131" spans="6:7" ht="15.75" thickBot="1" x14ac:dyDescent="0.3">
      <c r="F131" s="303" t="s">
        <v>116</v>
      </c>
      <c r="G131" s="58" t="str">
        <f ca="1">'System peak demand'!$C$266</f>
        <v>Section 106-I: System peak based on chargeable load</v>
      </c>
    </row>
    <row r="132" spans="6:7" ht="16.5" thickTop="1" thickBot="1" x14ac:dyDescent="0.3">
      <c r="F132" s="304" t="s">
        <v>74</v>
      </c>
      <c r="G132" s="58" t="str">
        <f ca="1">'Service model assets'!$C$14</f>
        <v>Section 107-A: Service model notional asset values</v>
      </c>
    </row>
    <row r="133" spans="6:7" ht="15.75" thickTop="1" x14ac:dyDescent="0.25">
      <c r="F133" s="304" t="s">
        <v>76</v>
      </c>
      <c r="G133" s="58" t="str">
        <f ca="1">'Unit costs'!$C$19</f>
        <v>Section 108-A: Financial data</v>
      </c>
    </row>
    <row r="134" spans="6:7" x14ac:dyDescent="0.25">
      <c r="F134" s="303" t="s">
        <v>116</v>
      </c>
      <c r="G134" s="58" t="str">
        <f ca="1">'Unit costs'!$C$27</f>
        <v>Section 108-B: Diversity and loss adjustment factors</v>
      </c>
    </row>
    <row r="135" spans="6:7" x14ac:dyDescent="0.25">
      <c r="F135" s="303" t="s">
        <v>116</v>
      </c>
      <c r="G135" s="58" t="str">
        <f ca="1">'Unit costs'!$C$35</f>
        <v>Section 108-C: Maximum demand</v>
      </c>
    </row>
    <row r="136" spans="6:7" x14ac:dyDescent="0.25">
      <c r="F136" s="303" t="s">
        <v>116</v>
      </c>
      <c r="G136" s="58" t="str">
        <f ca="1">'Unit costs'!$C$42</f>
        <v>Section 108-D: Rerouting matrix</v>
      </c>
    </row>
    <row r="137" spans="6:7" x14ac:dyDescent="0.25">
      <c r="F137" s="303" t="s">
        <v>116</v>
      </c>
      <c r="G137" s="58" t="str">
        <f ca="1">'Unit costs'!$C$50</f>
        <v>Section 108-E: Annuitised cost of assets</v>
      </c>
    </row>
    <row r="138" spans="6:7" x14ac:dyDescent="0.25">
      <c r="F138" s="303" t="s">
        <v>116</v>
      </c>
      <c r="G138" s="58" t="str">
        <f ca="1">'Unit costs'!$C$62</f>
        <v>Section 108-F: System simultaneous peak load based on charegable units</v>
      </c>
    </row>
    <row r="139" spans="6:7" x14ac:dyDescent="0.25">
      <c r="F139" s="303" t="s">
        <v>116</v>
      </c>
      <c r="G139" s="58" t="str">
        <f ca="1">'Unit costs'!$C$69</f>
        <v>Section 108-G: Notional asset values, by network level</v>
      </c>
    </row>
    <row r="140" spans="6:7" x14ac:dyDescent="0.25">
      <c r="F140" s="303" t="s">
        <v>116</v>
      </c>
      <c r="G140" s="58" t="str">
        <f ca="1">'Unit costs'!$C$80</f>
        <v>Section 108-H: Other operating costs</v>
      </c>
    </row>
    <row r="141" spans="6:7" x14ac:dyDescent="0.25">
      <c r="F141" s="303" t="s">
        <v>116</v>
      </c>
      <c r="G141" s="58" t="str">
        <f ca="1">'Unit costs'!$C$92</f>
        <v>Section 108-I: Other operating costs by network level</v>
      </c>
    </row>
    <row r="142" spans="6:7" x14ac:dyDescent="0.25">
      <c r="F142" s="303" t="s">
        <v>116</v>
      </c>
      <c r="G142" s="58" t="str">
        <f ca="1">'Unit costs'!$C$104</f>
        <v>Section 108-J: Notional asset values by network level</v>
      </c>
    </row>
    <row r="143" spans="6:7" x14ac:dyDescent="0.25">
      <c r="F143" s="303" t="s">
        <v>116</v>
      </c>
      <c r="G143" s="58" t="str">
        <f ca="1">'Unit costs'!$C$110</f>
        <v>Section 108-K: Unit costs</v>
      </c>
    </row>
    <row r="144" spans="6:7" ht="15.75" thickBot="1" x14ac:dyDescent="0.3">
      <c r="F144" s="303" t="s">
        <v>116</v>
      </c>
      <c r="G144" s="58" t="str">
        <f ca="1">'Unit costs'!$C$117</f>
        <v>Section 108-L: Values used for allocating costs to service models</v>
      </c>
    </row>
    <row r="145" spans="6:7" ht="15.75" thickTop="1" x14ac:dyDescent="0.25">
      <c r="F145" s="304" t="s">
        <v>78</v>
      </c>
      <c r="G145" s="58" t="str">
        <f ca="1">'Initial unit rates'!$C$13</f>
        <v>Section 109-A: Inputs for yardstick and unit rate calculations</v>
      </c>
    </row>
    <row r="146" spans="6:7" x14ac:dyDescent="0.25">
      <c r="F146" s="303" t="s">
        <v>116</v>
      </c>
      <c r="G146" s="58" t="str">
        <f ca="1">'Initial unit rates'!$C$118</f>
        <v>Section 109-B: Yardstick charges</v>
      </c>
    </row>
    <row r="147" spans="6:7" x14ac:dyDescent="0.25">
      <c r="F147" s="303" t="s">
        <v>116</v>
      </c>
      <c r="G147" s="58" t="str">
        <f ca="1">'Initial unit rates'!$C$146</f>
        <v>Section 109-C: Unit rate 1</v>
      </c>
    </row>
    <row r="148" spans="6:7" x14ac:dyDescent="0.25">
      <c r="F148" s="303" t="s">
        <v>116</v>
      </c>
      <c r="G148" s="58" t="str">
        <f ca="1">'Initial unit rates'!$C$175</f>
        <v>Section 109-D: Unit rate 2</v>
      </c>
    </row>
    <row r="149" spans="6:7" ht="15.75" thickBot="1" x14ac:dyDescent="0.3">
      <c r="F149" s="303" t="s">
        <v>116</v>
      </c>
      <c r="G149" s="58" t="str">
        <f ca="1">'Initial unit rates'!$C$204</f>
        <v>Section 109-E: Unit rate 3</v>
      </c>
    </row>
    <row r="150" spans="6:7" ht="15.75" thickTop="1" x14ac:dyDescent="0.25">
      <c r="F150" s="304" t="s">
        <v>80</v>
      </c>
      <c r="G150" s="58" t="str">
        <f ca="1">'Service model charges'!$C$17</f>
        <v>Section 110-A: Inputs to service model charge calculation</v>
      </c>
    </row>
    <row r="151" spans="6:7" x14ac:dyDescent="0.25">
      <c r="F151" s="303" t="s">
        <v>116</v>
      </c>
      <c r="G151" s="58" t="str">
        <f ca="1">'Service model charges'!$C$33</f>
        <v>Section 110-B: Calculation of other operating expenditure per £ of notional asset value</v>
      </c>
    </row>
    <row r="152" spans="6:7" ht="15.75" thickBot="1" x14ac:dyDescent="0.3">
      <c r="F152" s="303" t="s">
        <v>116</v>
      </c>
      <c r="G152" s="58" t="str">
        <f ca="1">'Service model charges'!$C$37</f>
        <v>Section 110-C: Calculation of service model charges</v>
      </c>
    </row>
    <row r="153" spans="6:7" ht="15.75" thickTop="1" x14ac:dyDescent="0.25">
      <c r="F153" s="304" t="s">
        <v>82</v>
      </c>
      <c r="G153" s="58" t="str">
        <f ca="1">'Unit rate charges'!$C$19</f>
        <v>Section 111-A: Initial unit rate 1</v>
      </c>
    </row>
    <row r="154" spans="6:7" x14ac:dyDescent="0.25">
      <c r="F154" s="303" t="s">
        <v>116</v>
      </c>
      <c r="G154" s="58" t="str">
        <f ca="1">'Unit rate charges'!$C$49</f>
        <v>Section 111-B: Initial unit rate 2</v>
      </c>
    </row>
    <row r="155" spans="6:7" x14ac:dyDescent="0.25">
      <c r="F155" s="303" t="s">
        <v>116</v>
      </c>
      <c r="G155" s="58" t="str">
        <f ca="1">'Unit rate charges'!$C$79</f>
        <v>Section 111-C: Initial unit rate 3</v>
      </c>
    </row>
    <row r="156" spans="6:7" x14ac:dyDescent="0.25">
      <c r="F156" s="303" t="s">
        <v>116</v>
      </c>
      <c r="G156" s="58" t="str">
        <f ca="1">'Unit rate charges'!$C$109</f>
        <v>Section 111-D: Standing charge factors</v>
      </c>
    </row>
    <row r="157" spans="6:7" x14ac:dyDescent="0.25">
      <c r="F157" s="303" t="s">
        <v>116</v>
      </c>
      <c r="G157" s="58" t="str">
        <f ca="1">'Unit rate charges'!$C$124</f>
        <v>Section 111-E: Contributions to unit rate 1 p/kWh by network level (taking account of standing charges)</v>
      </c>
    </row>
    <row r="158" spans="6:7" x14ac:dyDescent="0.25">
      <c r="F158" s="303" t="s">
        <v>116</v>
      </c>
      <c r="G158" s="58" t="str">
        <f ca="1">'Unit rate charges'!$C$154</f>
        <v>Section 111-F: Contributions to unit rate 2 p/kWh by network level (taking account of standing charges)</v>
      </c>
    </row>
    <row r="159" spans="6:7" x14ac:dyDescent="0.25">
      <c r="F159" s="303" t="s">
        <v>116</v>
      </c>
      <c r="G159" s="58" t="str">
        <f ca="1">'Unit rate charges'!$C$184</f>
        <v>Section 111-G: Contributions to unit rate 3 p/kWh by network level (taking account of standing charges)</v>
      </c>
    </row>
    <row r="160" spans="6:7" ht="15.75" thickBot="1" x14ac:dyDescent="0.3">
      <c r="F160" s="303" t="s">
        <v>116</v>
      </c>
      <c r="G160" s="58" t="str">
        <f ca="1">'Unit rate charges'!$C$214</f>
        <v>Section 111-H: Unit rates, post application of standing charges</v>
      </c>
    </row>
    <row r="161" spans="6:7" ht="15.75" thickTop="1" x14ac:dyDescent="0.25">
      <c r="F161" s="304" t="s">
        <v>84</v>
      </c>
      <c r="G161" s="58" t="str">
        <f ca="1">'Reactive power charges'!$C$17</f>
        <v>Section 112-A: Inputs to reactive power charge calculations</v>
      </c>
    </row>
    <row r="162" spans="6:7" x14ac:dyDescent="0.25">
      <c r="F162" s="303" t="s">
        <v>116</v>
      </c>
      <c r="G162" s="58" t="str">
        <f ca="1">'Reactive power charges'!$C$120</f>
        <v>Section 112-B: Yardstick charge (demand)</v>
      </c>
    </row>
    <row r="163" spans="6:7" x14ac:dyDescent="0.25">
      <c r="F163" s="303" t="s">
        <v>116</v>
      </c>
      <c r="G163" s="58" t="str">
        <f ca="1">'Reactive power charges'!$C$155</f>
        <v>Section 112-C: Yardstick charge used for generation</v>
      </c>
    </row>
    <row r="164" spans="6:7" x14ac:dyDescent="0.25">
      <c r="F164" s="303" t="s">
        <v>116</v>
      </c>
      <c r="G164" s="58" t="str">
        <f ca="1">'Reactive power charges'!$C$190</f>
        <v>Section 112-D: Reactive power charges, all customer categories</v>
      </c>
    </row>
    <row r="165" spans="6:7" ht="15.75" thickBot="1" x14ac:dyDescent="0.3">
      <c r="F165" s="303" t="s">
        <v>116</v>
      </c>
      <c r="G165" s="58" t="str">
        <f ca="1">'Reactive power charges'!$C$220</f>
        <v>Section 112-E: Reactive power charges for applicable customers</v>
      </c>
    </row>
    <row r="166" spans="6:7" ht="15.75" thickTop="1" x14ac:dyDescent="0.25">
      <c r="F166" s="304" t="s">
        <v>86</v>
      </c>
      <c r="G166" s="58" t="str">
        <f ca="1">'Capacity charges'!$C$19</f>
        <v>Section 113-A: Inputs to capacity charge calculations</v>
      </c>
    </row>
    <row r="167" spans="6:7" x14ac:dyDescent="0.25">
      <c r="F167" s="303" t="s">
        <v>116</v>
      </c>
      <c r="G167" s="58" t="str">
        <f ca="1">'Capacity charges'!$C$129</f>
        <v>Section 113-B: Capacity-based charge elements (to be split between capacity &amp; fixed charges)</v>
      </c>
    </row>
    <row r="168" spans="6:7" x14ac:dyDescent="0.25">
      <c r="F168" s="303" t="s">
        <v>116</v>
      </c>
      <c r="G168" s="58" t="str">
        <f ca="1">'Capacity charges'!$C$159</f>
        <v>Section 113-C: Exceeded capacity-based charge elements</v>
      </c>
    </row>
    <row r="169" spans="6:7" x14ac:dyDescent="0.25">
      <c r="F169" s="303" t="s">
        <v>116</v>
      </c>
      <c r="G169" s="58" t="str">
        <f ca="1">'Capacity charges'!$C$189</f>
        <v>Section 113-D: Capacity charges for eligible customers, by network level</v>
      </c>
    </row>
    <row r="170" spans="6:7" x14ac:dyDescent="0.25">
      <c r="F170" s="303" t="s">
        <v>116</v>
      </c>
      <c r="G170" s="58" t="str">
        <f ca="1">'Capacity charges'!$C$219</f>
        <v>Section 113-E: Exceeded capacity charges for eligible customers, by network level</v>
      </c>
    </row>
    <row r="171" spans="6:7" x14ac:dyDescent="0.25">
      <c r="F171" s="303" t="s">
        <v>116</v>
      </c>
      <c r="G171" s="58" t="str">
        <f ca="1">'Capacity charges'!$C$254</f>
        <v>Section 113-F: Capacity and exceeded capacity charges</v>
      </c>
    </row>
    <row r="172" spans="6:7" ht="15.75" thickBot="1" x14ac:dyDescent="0.3">
      <c r="F172" s="303" t="s">
        <v>116</v>
      </c>
      <c r="G172" s="58" t="str">
        <f ca="1">'Capacity charges'!$C$259</f>
        <v>Section 113-G: Capacity elements allocated to fixed charges</v>
      </c>
    </row>
    <row r="173" spans="6:7" ht="15.75" thickTop="1" x14ac:dyDescent="0.25">
      <c r="F173" s="304" t="s">
        <v>88</v>
      </c>
      <c r="G173" s="58" t="str">
        <f ca="1">'Fixed charges'!$C$16</f>
        <v>Section 114-A: Volumes (discounted MPANs &amp; maximum load)</v>
      </c>
    </row>
    <row r="174" spans="6:7" x14ac:dyDescent="0.25">
      <c r="F174" s="303" t="s">
        <v>116</v>
      </c>
      <c r="G174" s="58" t="str">
        <f ca="1">'Fixed charges'!$C$22</f>
        <v>Section 114-B: Capacity elements allocated to fixed charges</v>
      </c>
    </row>
    <row r="175" spans="6:7" x14ac:dyDescent="0.25">
      <c r="F175" s="303" t="s">
        <v>116</v>
      </c>
      <c r="G175" s="58" t="str">
        <f ca="1">'Fixed charges'!$C$52</f>
        <v>Section 114-C: Service model costs allocated to fixed charges</v>
      </c>
    </row>
    <row r="176" spans="6:7" x14ac:dyDescent="0.25">
      <c r="F176" s="303" t="s">
        <v>116</v>
      </c>
      <c r="G176" s="58" t="str">
        <f ca="1">'Fixed charges'!$C$58</f>
        <v>Section 114-D: Flags</v>
      </c>
    </row>
    <row r="177" spans="6:7" x14ac:dyDescent="0.25">
      <c r="F177" s="303" t="s">
        <v>116</v>
      </c>
      <c r="G177" s="58" t="str">
        <f ca="1">'Fixed charges'!$C$67</f>
        <v>Section 114-E: Revenue allocated to fixed charges</v>
      </c>
    </row>
    <row r="178" spans="6:7" x14ac:dyDescent="0.25">
      <c r="F178" s="303" t="s">
        <v>116</v>
      </c>
      <c r="G178" s="58" t="str">
        <f ca="1">'Fixed charges'!$C$97</f>
        <v>Section 114-F: Revenue allocated to fixed charges, by aggregation group</v>
      </c>
    </row>
    <row r="179" spans="6:7" x14ac:dyDescent="0.25">
      <c r="F179" s="303" t="s">
        <v>116</v>
      </c>
      <c r="G179" s="58" t="str">
        <f ca="1">'Fixed charges'!$C$127</f>
        <v>Section 114-G: Fixed charges, by network level</v>
      </c>
    </row>
    <row r="180" spans="6:7" ht="15.75" thickBot="1" x14ac:dyDescent="0.3">
      <c r="F180" s="303" t="s">
        <v>116</v>
      </c>
      <c r="G180" s="58" t="str">
        <f ca="1">'Fixed charges'!$C$159</f>
        <v>Section 114-H: Aggregated fixed charges</v>
      </c>
    </row>
    <row r="181" spans="6:7" ht="15.75" thickTop="1" x14ac:dyDescent="0.25">
      <c r="F181" s="304" t="s">
        <v>90</v>
      </c>
      <c r="G181" s="58" t="str">
        <f ca="1">'Revenue matching'!$C$15</f>
        <v>Section 115-A: Inputs to revenue matching</v>
      </c>
    </row>
    <row r="182" spans="6:7" x14ac:dyDescent="0.25">
      <c r="F182" s="303" t="s">
        <v>116</v>
      </c>
      <c r="G182" s="58" t="str">
        <f ca="1">'Revenue matching'!$C$45</f>
        <v>Section 115-B: Net revenue before matching</v>
      </c>
    </row>
    <row r="183" spans="6:7" x14ac:dyDescent="0.25">
      <c r="F183" s="303" t="s">
        <v>116</v>
      </c>
      <c r="G183" s="58" t="str">
        <f ca="1">'Revenue matching'!$C$68</f>
        <v>Section 115-C: Calculation of unconstrained adder solution</v>
      </c>
    </row>
    <row r="184" spans="6:7" x14ac:dyDescent="0.25">
      <c r="F184" s="303" t="s">
        <v>116</v>
      </c>
      <c r="G184" s="58" t="str">
        <f ca="1">'Revenue matching'!$C$92</f>
        <v>Section 115-D: Algorithm to find constrained adder solution</v>
      </c>
    </row>
    <row r="185" spans="6:7" ht="15.75" thickBot="1" x14ac:dyDescent="0.3">
      <c r="F185" s="303" t="s">
        <v>116</v>
      </c>
      <c r="G185" s="58" t="str">
        <f ca="1">'Revenue matching'!$C$131</f>
        <v>Section 115-E: Adder to be applied to unit rates</v>
      </c>
    </row>
    <row r="186" spans="6:7" ht="15.75" thickTop="1" x14ac:dyDescent="0.25">
      <c r="F186" s="304" t="s">
        <v>1046</v>
      </c>
      <c r="G186" s="58" t="str">
        <f ca="1">'Fixed charge adder'!$C$16</f>
        <v>Section 116-A: Inputs for fixed tariff adjustments</v>
      </c>
    </row>
    <row r="187" spans="6:7" x14ac:dyDescent="0.25">
      <c r="F187" s="303" t="s">
        <v>116</v>
      </c>
      <c r="G187" s="58" t="str">
        <f ca="1">'Fixed charge adder'!$C$33</f>
        <v>Section 116-B: Calculation of fixed tariff adjustments</v>
      </c>
    </row>
    <row r="188" spans="6:7" ht="15.75" thickBot="1" x14ac:dyDescent="0.3">
      <c r="F188" s="303" t="s">
        <v>116</v>
      </c>
      <c r="G188" s="58" t="str">
        <f ca="1">'Fixed charge adder'!$C$48</f>
        <v>Section 116-C: Calculation of fixed charge adder revenue</v>
      </c>
    </row>
    <row r="189" spans="6:7" ht="15.75" thickTop="1" x14ac:dyDescent="0.25">
      <c r="F189" s="304" t="s">
        <v>92</v>
      </c>
      <c r="G189" s="58" t="str">
        <f ca="1">Rounding!$C$16</f>
        <v>Section 117-A: Pre-match, pre-rounding tariff forecast</v>
      </c>
    </row>
    <row r="190" spans="6:7" x14ac:dyDescent="0.25">
      <c r="F190" s="303" t="s">
        <v>116</v>
      </c>
      <c r="G190" s="58" t="str">
        <f ca="1">Rounding!$C$28</f>
        <v>Section 117-B: Adder to be applied to unit rates</v>
      </c>
    </row>
    <row r="191" spans="6:7" x14ac:dyDescent="0.25">
      <c r="F191" s="303" t="s">
        <v>116</v>
      </c>
      <c r="G191" s="58" t="str">
        <f ca="1">Rounding!$C$40</f>
        <v>Section 117-C: Adder to be applied to fixed charge</v>
      </c>
    </row>
    <row r="192" spans="6:7" x14ac:dyDescent="0.25">
      <c r="F192" s="303" t="s">
        <v>116</v>
      </c>
      <c r="G192" s="58" t="str">
        <f ca="1">Rounding!$C$52</f>
        <v>Section 117-D: LDNO discounts</v>
      </c>
    </row>
    <row r="193" spans="6:7" x14ac:dyDescent="0.25">
      <c r="F193" s="303" t="s">
        <v>116</v>
      </c>
      <c r="G193" s="58" t="str">
        <f ca="1">Rounding!$C$72</f>
        <v>Section 117-E: Decimal places for rounding</v>
      </c>
    </row>
    <row r="194" spans="6:7" x14ac:dyDescent="0.25">
      <c r="F194" s="303" t="s">
        <v>116</v>
      </c>
      <c r="G194" s="58" t="str">
        <f ca="1">Rounding!$C$87</f>
        <v>Section 117-F: Tariff forecast, post-revenue matching</v>
      </c>
    </row>
    <row r="195" spans="6:7" x14ac:dyDescent="0.25">
      <c r="F195" s="303" t="s">
        <v>116</v>
      </c>
      <c r="G195" s="58" t="str">
        <f ca="1">Rounding!$C$98</f>
        <v>Section 117-G: Tariff forecast, post-adders &amp; discounting</v>
      </c>
    </row>
    <row r="196" spans="6:7" ht="15.75" thickBot="1" x14ac:dyDescent="0.3">
      <c r="F196" s="303" t="s">
        <v>116</v>
      </c>
      <c r="G196" s="58" t="str">
        <f ca="1">Rounding!$C$127</f>
        <v>Section 117-H: Tariff forecast, post-rounding</v>
      </c>
    </row>
    <row r="197" spans="6:7" ht="15.75" thickTop="1" x14ac:dyDescent="0.25">
      <c r="F197" s="304" t="s">
        <v>94</v>
      </c>
      <c r="G197" s="58" t="str">
        <f ca="1">'Net revenue summary'!$C$13</f>
        <v>Section 118-A: Volume forecasts</v>
      </c>
    </row>
    <row r="198" spans="6:7" x14ac:dyDescent="0.25">
      <c r="F198" s="303" t="s">
        <v>116</v>
      </c>
      <c r="G198" s="58" t="str">
        <f ca="1">'Net revenue summary'!$C$42</f>
        <v>Section 118-B: Tariff forecast</v>
      </c>
    </row>
    <row r="199" spans="6:7" x14ac:dyDescent="0.25">
      <c r="F199" s="303" t="s">
        <v>116</v>
      </c>
      <c r="G199" s="58" t="str">
        <f ca="1">'Net revenue summary'!$C$71</f>
        <v>Section 118-C: Net revenue components</v>
      </c>
    </row>
    <row r="200" spans="6:7" x14ac:dyDescent="0.25">
      <c r="F200" s="303" t="s">
        <v>116</v>
      </c>
      <c r="G200" s="58" t="str">
        <f ca="1">'Net revenue summary'!$C$81</f>
        <v>Section 118-D: Net revenue by tariff</v>
      </c>
    </row>
    <row r="201" spans="6:7" x14ac:dyDescent="0.25">
      <c r="F201" s="303" t="s">
        <v>116</v>
      </c>
      <c r="G201" s="58" t="str">
        <f ca="1">'Net revenue summary'!$C$113</f>
        <v>Section 118-E: Net revenue summary (for information only)</v>
      </c>
    </row>
    <row r="202" spans="6:7" x14ac:dyDescent="0.25">
      <c r="F202" s="303" t="s">
        <v>116</v>
      </c>
      <c r="G202" s="58" t="str">
        <f ca="1">'Net revenue summary'!$C$126</f>
        <v>Section 118-F: Typical bills</v>
      </c>
    </row>
    <row r="203" spans="6:7" x14ac:dyDescent="0.25">
      <c r="F203" s="303" t="s">
        <v>116</v>
      </c>
      <c r="G203" s="58" t="str">
        <f ca="1">'Net revenue summary'!$C$132</f>
        <v>Section 118-G: Average bill per kWh</v>
      </c>
    </row>
    <row r="204" spans="6:7" x14ac:dyDescent="0.25">
      <c r="F204" s="303" t="s">
        <v>116</v>
      </c>
      <c r="G204" s="58" t="str">
        <f ca="1">'Net revenue summary'!$C$140</f>
        <v>Section 118-H: Previous year all the way tariff forecast</v>
      </c>
    </row>
    <row r="205" spans="6:7" x14ac:dyDescent="0.25">
      <c r="F205" s="303" t="s">
        <v>116</v>
      </c>
      <c r="G205" s="58" t="str">
        <f ca="1">'Net revenue summary'!$C$151</f>
        <v>Section 118-I: Previous year net revenue from all the way tariff forecast</v>
      </c>
    </row>
    <row r="206" spans="6:7" x14ac:dyDescent="0.25">
      <c r="F206" s="303" t="s">
        <v>116</v>
      </c>
      <c r="G206" s="58" t="str">
        <f ca="1">'Net revenue summary'!$C$166</f>
        <v>Section 118-J: LDNO typical bills using all-the-way volumes</v>
      </c>
    </row>
    <row r="207" spans="6:7" ht="15.75" thickBot="1" x14ac:dyDescent="0.3">
      <c r="F207" s="303" t="s">
        <v>116</v>
      </c>
      <c r="G207" s="58" t="str">
        <f ca="1">'Net revenue summary'!$C$190</f>
        <v>Section 118-K: LDNO margins</v>
      </c>
    </row>
    <row r="208" spans="6:7" ht="16.5" thickTop="1" thickBot="1" x14ac:dyDescent="0.3">
      <c r="F208" s="306" t="s">
        <v>96</v>
      </c>
      <c r="G208" s="58" t="str">
        <f>'Tariff summary'!$C$13</f>
        <v>Output 101-A: Tariffs for 2021/22</v>
      </c>
    </row>
    <row r="209" spans="2:7" ht="15.75" thickTop="1" x14ac:dyDescent="0.25">
      <c r="F209" s="306" t="s">
        <v>98</v>
      </c>
      <c r="G209" s="58" t="str">
        <f ca="1">'Output to other models'!$C$14</f>
        <v>Output 102-A: CDCM notional EHV asset values</v>
      </c>
    </row>
    <row r="210" spans="2:7" x14ac:dyDescent="0.25">
      <c r="F210" s="305" t="s">
        <v>116</v>
      </c>
      <c r="G210" s="58" t="str">
        <f ca="1">'Output to other models'!$C$27</f>
        <v>Output 102-B: CDCM end user tariff forecast</v>
      </c>
    </row>
    <row r="211" spans="2:7" x14ac:dyDescent="0.25">
      <c r="F211" s="305" t="s">
        <v>116</v>
      </c>
      <c r="G211" s="58" t="str">
        <f ca="1">'Output to other models'!$C$45</f>
        <v>Output 102-C: CDCM non-tariff outputs to EDCM</v>
      </c>
    </row>
    <row r="212" spans="2:7" x14ac:dyDescent="0.25">
      <c r="F212" s="305" t="s">
        <v>116</v>
      </c>
      <c r="G212" s="58" t="str">
        <f ca="1">'Output to other models'!$C$57</f>
        <v>Output 102-D: Outputs for DNOs' internal use</v>
      </c>
    </row>
    <row r="213" spans="2:7" x14ac:dyDescent="0.25">
      <c r="F213" s="305" t="s">
        <v>116</v>
      </c>
      <c r="G213" s="58" t="str">
        <f ca="1">'Output to other models'!$C$67</f>
        <v>Output 102-E: Outputs for IDNOs' internal use</v>
      </c>
    </row>
    <row r="215" spans="2:7" x14ac:dyDescent="0.25">
      <c r="B215" s="30" t="s">
        <v>106</v>
      </c>
      <c r="C215" s="30"/>
      <c r="D215" s="30"/>
      <c r="E215" s="30"/>
      <c r="F215" s="30"/>
      <c r="G215" s="30"/>
    </row>
  </sheetData>
  <sheetProtection sheet="1" objects="1" formatCells="0" formatColumns="0" formatRows="0" sort="0" autoFilter="0"/>
  <hyperlinks>
    <hyperlink ref="F15" location="'Cover'!A4" display="'" xr:uid="{00000000-0004-0000-0300-000000000000}"/>
    <hyperlink ref="F16" location="'Version control'!A4" display="'" xr:uid="{00000000-0004-0000-0300-000001000000}"/>
    <hyperlink ref="G16" location="'Version control'!$B$5" display="'Version control'!$B$5" xr:uid="{00000000-0004-0000-0300-000002000000}"/>
    <hyperlink ref="F17" location="'Version control'!A4" display="'" xr:uid="{00000000-0004-0000-0300-000003000000}"/>
    <hyperlink ref="G17" location="'Version control'!$B$17" display="'Version control'!$B$17" xr:uid="{00000000-0004-0000-0300-000004000000}"/>
    <hyperlink ref="F18" location="'Version control'!A4" display="'" xr:uid="{00000000-0004-0000-0300-000005000000}"/>
    <hyperlink ref="G18" location="'Version control'!$B$31" display="'Version control'!$B$31" xr:uid="{00000000-0004-0000-0300-000006000000}"/>
    <hyperlink ref="F19" location="'Version control'!A4" display="'" xr:uid="{00000000-0004-0000-0300-000007000000}"/>
    <hyperlink ref="G19" location="'Version control'!$B$60" display="'Version control'!$B$60" xr:uid="{00000000-0004-0000-0300-000008000000}"/>
    <hyperlink ref="F20" location="'Model map'!A4" display="'" xr:uid="{00000000-0004-0000-0300-000009000000}"/>
    <hyperlink ref="G20" location="'Model map'!$B$5" display="'Model map'!$B$5" xr:uid="{00000000-0004-0000-0300-00000A000000}"/>
    <hyperlink ref="F21" location="'Named ranges'!A4" display="'" xr:uid="{00000000-0004-0000-0300-00000B000000}"/>
    <hyperlink ref="G21" location="'Named ranges'!$B$5" display="'Named ranges'!$B$5" xr:uid="{00000000-0004-0000-0300-00000C000000}"/>
    <hyperlink ref="F22" location="'Fixed inputs'!A4" display="'" xr:uid="{00000000-0004-0000-0300-00000D000000}"/>
    <hyperlink ref="G22" location="'Fixed inputs'!$B$11" display="'Fixed inputs'!$B$11" xr:uid="{00000000-0004-0000-0300-00000E000000}"/>
    <hyperlink ref="F23" location="'Inputs by customer type'!A4" display="'" xr:uid="{00000000-0004-0000-0300-00000F000000}"/>
    <hyperlink ref="G23" location="'Inputs by customer type'!$B$11" display="'Inputs by customer type'!$B$11" xr:uid="{00000000-0004-0000-0300-000010000000}"/>
    <hyperlink ref="F24" location="'Inputs by network level'!A4" display="'" xr:uid="{00000000-0004-0000-0300-000011000000}"/>
    <hyperlink ref="G24" location="'Inputs by network level'!$B$11" display="'Inputs by network level'!$B$11" xr:uid="{00000000-0004-0000-0300-000012000000}"/>
    <hyperlink ref="F25" location="'General inputs'!A4" display="'" xr:uid="{00000000-0004-0000-0300-000013000000}"/>
    <hyperlink ref="G25" location="'General inputs'!$B$11" display="'General inputs'!$B$11" xr:uid="{00000000-0004-0000-0300-000014000000}"/>
    <hyperlink ref="F26" location="'Standing charge factors'!A4" display="'" xr:uid="{00000000-0004-0000-0300-000015000000}"/>
    <hyperlink ref="G26" location="'Standing charge factors'!$B$17" display="'Standing charge factors'!$B$17" xr:uid="{00000000-0004-0000-0300-000016000000}"/>
    <hyperlink ref="F27" location="'Load &amp; loss characteristics'!A4" display="'" xr:uid="{00000000-0004-0000-0300-000017000000}"/>
    <hyperlink ref="G27" location="'Load &amp; loss characteristics'!$B$13" display="'Load &amp; loss characteristics'!$B$13" xr:uid="{00000000-0004-0000-0300-000018000000}"/>
    <hyperlink ref="F28" location="'Load &amp; loss characteristics'!A4" display="'" xr:uid="{00000000-0004-0000-0300-000019000000}"/>
    <hyperlink ref="G28" location="'Load &amp; loss characteristics'!$B$31" display="'Load &amp; loss characteristics'!$B$31" xr:uid="{00000000-0004-0000-0300-00001A000000}"/>
    <hyperlink ref="F29" location="'Customer contributions'!A4" display="'" xr:uid="{00000000-0004-0000-0300-00001B000000}"/>
    <hyperlink ref="G29" location="'Customer contributions'!$B$12" display="'Customer contributions'!$B$12" xr:uid="{00000000-0004-0000-0300-00001C000000}"/>
    <hyperlink ref="F30" location="'Volume adjustments'!A4" display="'" xr:uid="{00000000-0004-0000-0300-00001D000000}"/>
    <hyperlink ref="G30" location="'Volume adjustments'!$B$13" display="'Volume adjustments'!$B$13" xr:uid="{00000000-0004-0000-0300-00001E000000}"/>
    <hyperlink ref="F31" location="'Volume adjustments'!A4" display="'" xr:uid="{00000000-0004-0000-0300-00001F000000}"/>
    <hyperlink ref="G31" location="'Volume adjustments'!$B$51" display="'Volume adjustments'!$B$51" xr:uid="{00000000-0004-0000-0300-000020000000}"/>
    <hyperlink ref="F32" location="'Pseudo-load coefficients'!A4" display="'" xr:uid="{00000000-0004-0000-0300-000021000000}"/>
    <hyperlink ref="G32" location="'Pseudo-load coefficients'!$B$13" display="'Pseudo-load coefficients'!$B$13" xr:uid="{00000000-0004-0000-0300-000022000000}"/>
    <hyperlink ref="F33" location="'Pseudo-load coefficients'!A4" display="'" xr:uid="{00000000-0004-0000-0300-000023000000}"/>
    <hyperlink ref="G33" location="'Pseudo-load coefficients'!$B$56" display="'Pseudo-load coefficients'!$B$56" xr:uid="{00000000-0004-0000-0300-000024000000}"/>
    <hyperlink ref="F34" location="'Pseudo-load coefficients'!A4" display="'" xr:uid="{00000000-0004-0000-0300-000025000000}"/>
    <hyperlink ref="G34" location="'Pseudo-load coefficients'!$B$95" display="'Pseudo-load coefficients'!$B$95" xr:uid="{00000000-0004-0000-0300-000026000000}"/>
    <hyperlink ref="F35" location="'Pseudo-load coefficients'!A4" display="'" xr:uid="{00000000-0004-0000-0300-000027000000}"/>
    <hyperlink ref="G35" location="'Pseudo-load coefficients'!$B$261" display="'Pseudo-load coefficients'!$B$261" xr:uid="{00000000-0004-0000-0300-000028000000}"/>
    <hyperlink ref="F36" location="'System peak demand'!A4" display="'" xr:uid="{00000000-0004-0000-0300-000029000000}"/>
    <hyperlink ref="G36" location="'System peak demand'!$B$16" display="'System peak demand'!$B$16" xr:uid="{00000000-0004-0000-0300-00002A000000}"/>
    <hyperlink ref="F37" location="'System peak demand'!A4" display="'" xr:uid="{00000000-0004-0000-0300-00002B000000}"/>
    <hyperlink ref="G37" location="'System peak demand'!$B$63" display="'System peak demand'!$B$63" xr:uid="{00000000-0004-0000-0300-00002C000000}"/>
    <hyperlink ref="F38" location="'System peak demand'!A4" display="'" xr:uid="{00000000-0004-0000-0300-00002D000000}"/>
    <hyperlink ref="G38" location="'System peak demand'!$B$179" display="'System peak demand'!$B$179" xr:uid="{00000000-0004-0000-0300-00002E000000}"/>
    <hyperlink ref="F39" location="'System peak demand'!A4" display="'" xr:uid="{00000000-0004-0000-0300-00002F000000}"/>
    <hyperlink ref="G39" location="'System peak demand'!$B$262" display="'System peak demand'!$B$262" xr:uid="{00000000-0004-0000-0300-000030000000}"/>
    <hyperlink ref="F40" location="'Service model assets'!A4" display="'" xr:uid="{00000000-0004-0000-0300-000031000000}"/>
    <hyperlink ref="G40" location="'Service model assets'!$B$12" display="'Service model assets'!$B$12" xr:uid="{00000000-0004-0000-0300-000032000000}"/>
    <hyperlink ref="F41" location="'Unit costs'!A4" display="'" xr:uid="{00000000-0004-0000-0300-000033000000}"/>
    <hyperlink ref="G41" location="'Unit costs'!$B$15" display="'Unit costs'!$B$15" xr:uid="{00000000-0004-0000-0300-000034000000}"/>
    <hyperlink ref="F42" location="'Unit costs'!A4" display="'" xr:uid="{00000000-0004-0000-0300-000035000000}"/>
    <hyperlink ref="G42" location="'Unit costs'!$B$58" display="'Unit costs'!$B$58" xr:uid="{00000000-0004-0000-0300-000036000000}"/>
    <hyperlink ref="F43" location="'Unit costs'!A4" display="'" xr:uid="{00000000-0004-0000-0300-000037000000}"/>
    <hyperlink ref="G43" location="'Unit costs'!$B$102" display="'Unit costs'!$B$102" xr:uid="{00000000-0004-0000-0300-000038000000}"/>
    <hyperlink ref="F44" location="'Initial unit rates'!A4" display="'" xr:uid="{00000000-0004-0000-0300-000039000000}"/>
    <hyperlink ref="G44" location="'Initial unit rates'!$B$11" display="'Initial unit rates'!$B$11" xr:uid="{00000000-0004-0000-0300-00003A000000}"/>
    <hyperlink ref="F45" location="'Initial unit rates'!A4" display="'" xr:uid="{00000000-0004-0000-0300-00003B000000}"/>
    <hyperlink ref="G45" location="'Initial unit rates'!$B$116" display="'Initial unit rates'!$B$116" xr:uid="{00000000-0004-0000-0300-00003C000000}"/>
    <hyperlink ref="F46" location="'Service model charges'!A4" display="'" xr:uid="{00000000-0004-0000-0300-00003D000000}"/>
    <hyperlink ref="G46" location="'Service model charges'!$B$13" display="'Service model charges'!$B$13" xr:uid="{00000000-0004-0000-0300-00003E000000}"/>
    <hyperlink ref="F47" location="'Service model charges'!A4" display="'" xr:uid="{00000000-0004-0000-0300-00003F000000}"/>
    <hyperlink ref="G47" location="'Service model charges'!$B$29" display="'Service model charges'!$B$29" xr:uid="{00000000-0004-0000-0300-000040000000}"/>
    <hyperlink ref="F48" location="'Unit rate charges'!A4" display="'" xr:uid="{00000000-0004-0000-0300-000041000000}"/>
    <hyperlink ref="G48" location="'Unit rate charges'!$B$15" display="'Unit rate charges'!$B$15" xr:uid="{00000000-0004-0000-0300-000042000000}"/>
    <hyperlink ref="F49" location="'Unit rate charges'!A4" display="'" xr:uid="{00000000-0004-0000-0300-000043000000}"/>
    <hyperlink ref="G49" location="'Unit rate charges'!$B$122" display="'Unit rate charges'!$B$122" xr:uid="{00000000-0004-0000-0300-000044000000}"/>
    <hyperlink ref="F50" location="'Reactive power charges'!A4" display="'" xr:uid="{00000000-0004-0000-0300-000045000000}"/>
    <hyperlink ref="G50" location="'Reactive power charges'!$B$13" display="'Reactive power charges'!$B$13" xr:uid="{00000000-0004-0000-0300-000046000000}"/>
    <hyperlink ref="F51" location="'Reactive power charges'!A4" display="'" xr:uid="{00000000-0004-0000-0300-000047000000}"/>
    <hyperlink ref="G51" location="'Reactive power charges'!$B$150" display="'Reactive power charges'!$B$150" xr:uid="{00000000-0004-0000-0300-000048000000}"/>
    <hyperlink ref="F52" location="'Reactive power charges'!A4" display="'" xr:uid="{00000000-0004-0000-0300-000049000000}"/>
    <hyperlink ref="G52" location="'Reactive power charges'!$B$185" display="'Reactive power charges'!$B$185" xr:uid="{00000000-0004-0000-0300-00004A000000}"/>
    <hyperlink ref="F53" location="'Capacity charges'!A4" display="'" xr:uid="{00000000-0004-0000-0300-00004B000000}"/>
    <hyperlink ref="G53" location="'Capacity charges'!$B$17" display="'Capacity charges'!$B$17" xr:uid="{00000000-0004-0000-0300-00004C000000}"/>
    <hyperlink ref="F54" location="'Capacity charges'!A4" display="'" xr:uid="{00000000-0004-0000-0300-00004D000000}"/>
    <hyperlink ref="G54" location="'Capacity charges'!$B$125" display="'Capacity charges'!$B$125" xr:uid="{00000000-0004-0000-0300-00004E000000}"/>
    <hyperlink ref="F55" location="'Capacity charges'!A4" display="'" xr:uid="{00000000-0004-0000-0300-00004F000000}"/>
    <hyperlink ref="G55" location="'Capacity charges'!$B$249" display="'Capacity charges'!$B$249" xr:uid="{00000000-0004-0000-0300-000050000000}"/>
    <hyperlink ref="F56" location="'Fixed charges'!A4" display="'" xr:uid="{00000000-0004-0000-0300-000051000000}"/>
    <hyperlink ref="G56" location="'Fixed charges'!$B$14" display="'Fixed charges'!$B$14" xr:uid="{00000000-0004-0000-0300-000052000000}"/>
    <hyperlink ref="F57" location="'Fixed charges'!A4" display="'" xr:uid="{00000000-0004-0000-0300-000053000000}"/>
    <hyperlink ref="G57" location="'Fixed charges'!$B$65" display="'Fixed charges'!$B$65" xr:uid="{00000000-0004-0000-0300-000054000000}"/>
    <hyperlink ref="F58" location="'Revenue matching'!A4" display="'" xr:uid="{00000000-0004-0000-0300-000055000000}"/>
    <hyperlink ref="G58" location="'Revenue matching'!$B$13" display="'Revenue matching'!$B$13" xr:uid="{00000000-0004-0000-0300-000056000000}"/>
    <hyperlink ref="F59" location="'Revenue matching'!A4" display="'" xr:uid="{00000000-0004-0000-0300-000057000000}"/>
    <hyperlink ref="G59" location="'Revenue matching'!$B$62" display="'Revenue matching'!$B$62" xr:uid="{00000000-0004-0000-0300-000058000000}"/>
    <hyperlink ref="F60" location="'Fixed charge adder'!A4" display="'" xr:uid="{00000000-0004-0000-0300-000059000000}"/>
    <hyperlink ref="G60" location="'Fixed charge adder'!$B$12" display="'Fixed charge adder'!$B$12" xr:uid="{00000000-0004-0000-0300-00005A000000}"/>
    <hyperlink ref="F61" location="'Rounding'!A4" display="'" xr:uid="{00000000-0004-0000-0300-00005B000000}"/>
    <hyperlink ref="G61" location="'Rounding'!$B$12" display="'Rounding'!$B$12" xr:uid="{00000000-0004-0000-0300-00005C000000}"/>
    <hyperlink ref="F62" location="'Rounding'!A4" display="'" xr:uid="{00000000-0004-0000-0300-00005D000000}"/>
    <hyperlink ref="G62" location="'Rounding'!$B$83" display="'Rounding'!$B$83" xr:uid="{00000000-0004-0000-0300-00005E000000}"/>
    <hyperlink ref="F63" location="'Net revenue summary'!A4" display="'" xr:uid="{00000000-0004-0000-0300-00005F000000}"/>
    <hyperlink ref="G63" location="'Net revenue summary'!$B$11" display="'Net revenue summary'!$B$11" xr:uid="{00000000-0004-0000-0300-000060000000}"/>
    <hyperlink ref="F64" location="'Net revenue summary'!A4" display="'" xr:uid="{00000000-0004-0000-0300-000061000000}"/>
    <hyperlink ref="G64" location="'Net revenue summary'!$B$79" display="'Net revenue summary'!$B$79" xr:uid="{00000000-0004-0000-0300-000062000000}"/>
    <hyperlink ref="F65" location="'Net revenue summary'!A4" display="'" xr:uid="{00000000-0004-0000-0300-000063000000}"/>
    <hyperlink ref="G65" location="'Net revenue summary'!$B$138" display="'Net revenue summary'!$B$138" xr:uid="{00000000-0004-0000-0300-000064000000}"/>
    <hyperlink ref="F66" location="'Net revenue summary'!A4" display="'" xr:uid="{00000000-0004-0000-0300-000065000000}"/>
    <hyperlink ref="G66" location="'Net revenue summary'!$B$164" display="'Net revenue summary'!$B$164" xr:uid="{00000000-0004-0000-0300-000066000000}"/>
    <hyperlink ref="F67" location="'Tariff summary'!A4" display="'" xr:uid="{00000000-0004-0000-0300-000067000000}"/>
    <hyperlink ref="G67" location="'Tariff summary'!$B$11" display="'Tariff summary'!$B$11" xr:uid="{00000000-0004-0000-0300-000068000000}"/>
    <hyperlink ref="F68" location="'Output to other models'!A4" display="'" xr:uid="{00000000-0004-0000-0300-000069000000}"/>
    <hyperlink ref="G68" location="'Output to other models'!$B$12" display="'Output to other models'!$B$12" xr:uid="{00000000-0004-0000-0300-00006A000000}"/>
    <hyperlink ref="F69" location="'Output to other models'!A4" display="'" xr:uid="{00000000-0004-0000-0300-00006B000000}"/>
    <hyperlink ref="G69" location="'Output to other models'!$B$25" display="'Output to other models'!$B$25" xr:uid="{00000000-0004-0000-0300-00006C000000}"/>
    <hyperlink ref="F70" location="'Output to other models'!A4" display="'" xr:uid="{00000000-0004-0000-0300-00006D000000}"/>
    <hyperlink ref="G70" location="'Output to other models'!$B$53" display="'Output to other models'!$B$53" xr:uid="{00000000-0004-0000-0300-00006E000000}"/>
    <hyperlink ref="F77" location="'Fixed inputs'!A4" display="'" xr:uid="{00000000-0004-0000-0300-00006F000000}"/>
    <hyperlink ref="G77" location="'Fixed inputs'!$C$13" display="'Fixed inputs'!$C$13" xr:uid="{00000000-0004-0000-0300-000070000000}"/>
    <hyperlink ref="F78" location="'Fixed inputs'!A4" display="'" xr:uid="{00000000-0004-0000-0300-000071000000}"/>
    <hyperlink ref="G78" location="'Fixed inputs'!$C$20" display="'Fixed inputs'!$C$20" xr:uid="{00000000-0004-0000-0300-000072000000}"/>
    <hyperlink ref="F79" location="'Fixed inputs'!A4" display="'" xr:uid="{00000000-0004-0000-0300-000073000000}"/>
    <hyperlink ref="G79" location="'Fixed inputs'!$C$33" display="'Fixed inputs'!$C$33" xr:uid="{00000000-0004-0000-0300-000074000000}"/>
    <hyperlink ref="F80" location="'Fixed inputs'!A4" display="'" xr:uid="{00000000-0004-0000-0300-000075000000}"/>
    <hyperlink ref="G80" location="'Fixed inputs'!$C$43" display="'Fixed inputs'!$C$43" xr:uid="{00000000-0004-0000-0300-000076000000}"/>
    <hyperlink ref="F81" location="'Fixed inputs'!A4" display="'" xr:uid="{00000000-0004-0000-0300-000077000000}"/>
    <hyperlink ref="G81" location="'Fixed inputs'!$C$84" display="'Fixed inputs'!$C$84" xr:uid="{00000000-0004-0000-0300-000078000000}"/>
    <hyperlink ref="F82" location="'Fixed inputs'!A4" display="'" xr:uid="{00000000-0004-0000-0300-000079000000}"/>
    <hyperlink ref="G82" location="'Fixed inputs'!$C$100" display="'Fixed inputs'!$C$100" xr:uid="{00000000-0004-0000-0300-00007A000000}"/>
    <hyperlink ref="F83" location="'Fixed inputs'!A4" display="'" xr:uid="{00000000-0004-0000-0300-00007B000000}"/>
    <hyperlink ref="G83" location="'Fixed inputs'!$C$142" display="'Fixed inputs'!$C$142" xr:uid="{00000000-0004-0000-0300-00007C000000}"/>
    <hyperlink ref="F84" location="'Fixed inputs'!A4" display="'" xr:uid="{00000000-0004-0000-0300-00007D000000}"/>
    <hyperlink ref="G84" location="'Fixed inputs'!$C$152" display="'Fixed inputs'!$C$152" xr:uid="{00000000-0004-0000-0300-00007E000000}"/>
    <hyperlink ref="F85" location="'Fixed inputs'!A4" display="'" xr:uid="{00000000-0004-0000-0300-00007F000000}"/>
    <hyperlink ref="G85" location="'Fixed inputs'!$C$156" display="'Fixed inputs'!$C$156" xr:uid="{00000000-0004-0000-0300-000080000000}"/>
    <hyperlink ref="F86" location="'Inputs by customer type'!A4" display="'" xr:uid="{00000000-0004-0000-0300-000081000000}"/>
    <hyperlink ref="G86" location="'Inputs by customer type'!$C$13" display="'Inputs by customer type'!$C$13" xr:uid="{00000000-0004-0000-0300-000082000000}"/>
    <hyperlink ref="F87" location="'Inputs by customer type'!A4" display="'" xr:uid="{00000000-0004-0000-0300-000083000000}"/>
    <hyperlink ref="G87" location="'Inputs by customer type'!$C$18" display="'Inputs by customer type'!$C$18" xr:uid="{00000000-0004-0000-0300-000084000000}"/>
    <hyperlink ref="F88" location="'Inputs by customer type'!A4" display="'" xr:uid="{00000000-0004-0000-0300-000085000000}"/>
    <hyperlink ref="G88" location="'Inputs by customer type'!$C$49" display="'Inputs by customer type'!$C$49" xr:uid="{00000000-0004-0000-0300-000086000000}"/>
    <hyperlink ref="F89" location="'Inputs by customer type'!A4" display="'" xr:uid="{00000000-0004-0000-0300-000087000000}"/>
    <hyperlink ref="G89" location="'Inputs by customer type'!$C$58" display="'Inputs by customer type'!$C$58" xr:uid="{00000000-0004-0000-0300-000088000000}"/>
    <hyperlink ref="F90" location="'Inputs by customer type'!A4" display="'" xr:uid="{00000000-0004-0000-0300-000089000000}"/>
    <hyperlink ref="G90" location="'Inputs by customer type'!$C$72" display="'Inputs by customer type'!$C$72" xr:uid="{00000000-0004-0000-0300-00008A000000}"/>
    <hyperlink ref="F91" location="'Inputs by network level'!A4" display="'" xr:uid="{00000000-0004-0000-0300-00008B000000}"/>
    <hyperlink ref="G91" location="'Inputs by network level'!$C$13" display="'Inputs by network level'!$C$13" xr:uid="{00000000-0004-0000-0300-00008C000000}"/>
    <hyperlink ref="F92" location="'Inputs by network level'!A4" display="'" xr:uid="{00000000-0004-0000-0300-00008D000000}"/>
    <hyperlink ref="G92" location="'Inputs by network level'!$C$23" display="'Inputs by network level'!$C$23" xr:uid="{00000000-0004-0000-0300-00008E000000}"/>
    <hyperlink ref="F93" location="'Inputs by network level'!A4" display="'" xr:uid="{00000000-0004-0000-0300-00008F000000}"/>
    <hyperlink ref="G93" location="'Inputs by network level'!$C$31" display="'Inputs by network level'!$C$31" xr:uid="{00000000-0004-0000-0300-000090000000}"/>
    <hyperlink ref="F94" location="'Inputs by network level'!A4" display="'" xr:uid="{00000000-0004-0000-0300-000091000000}"/>
    <hyperlink ref="G94" location="'Inputs by network level'!$C$35" display="'Inputs by network level'!$C$35" xr:uid="{00000000-0004-0000-0300-000092000000}"/>
    <hyperlink ref="F95" location="'General inputs'!A4" display="'" xr:uid="{00000000-0004-0000-0300-000093000000}"/>
    <hyperlink ref="G95" location="'General inputs'!$C$13" display="'General inputs'!$C$13" xr:uid="{00000000-0004-0000-0300-000094000000}"/>
    <hyperlink ref="F96" location="'General inputs'!A4" display="'" xr:uid="{00000000-0004-0000-0300-000095000000}"/>
    <hyperlink ref="G96" location="'General inputs'!$C$25" display="'General inputs'!$C$25" xr:uid="{00000000-0004-0000-0300-000096000000}"/>
    <hyperlink ref="F97" location="'General inputs'!A4" display="'" xr:uid="{00000000-0004-0000-0300-000097000000}"/>
    <hyperlink ref="G97" location="'General inputs'!$C$35" display="'General inputs'!$C$35" xr:uid="{00000000-0004-0000-0300-000098000000}"/>
    <hyperlink ref="F98" location="'General inputs'!A4" display="'" xr:uid="{00000000-0004-0000-0300-000099000000}"/>
    <hyperlink ref="G98" location="'General inputs'!$C$89" display="'General inputs'!$C$89" xr:uid="{00000000-0004-0000-0300-00009A000000}"/>
    <hyperlink ref="F99" location="'General inputs'!A4" display="'" xr:uid="{00000000-0004-0000-0300-00009B000000}"/>
    <hyperlink ref="G99" location="'General inputs'!$C$95" display="'General inputs'!$C$95" xr:uid="{00000000-0004-0000-0300-00009C000000}"/>
    <hyperlink ref="F100" location="'General inputs'!A4" display="'" xr:uid="{00000000-0004-0000-0300-00009D000000}"/>
    <hyperlink ref="G100" location="'General inputs'!$C$99" display="'General inputs'!$C$99" xr:uid="{00000000-0004-0000-0300-00009E000000}"/>
    <hyperlink ref="F101" location="'Standing charge factors'!A4" display="'" xr:uid="{00000000-0004-0000-0300-00009F000000}"/>
    <hyperlink ref="G101" location="'Standing charge factors'!$C$19" display="'Standing charge factors'!$C$19" xr:uid="{00000000-0004-0000-0300-0000A0000000}"/>
    <hyperlink ref="F102" location="'Load &amp; loss characteristics'!A4" display="'" xr:uid="{00000000-0004-0000-0300-0000A1000000}"/>
    <hyperlink ref="G102" location="'Load &amp; loss characteristics'!$C$17" display="'Load &amp; loss characteristics'!$C$17" xr:uid="{00000000-0004-0000-0300-0000A2000000}"/>
    <hyperlink ref="F103" location="'Load &amp; loss characteristics'!A4" display="'" xr:uid="{00000000-0004-0000-0300-0000A3000000}"/>
    <hyperlink ref="G103" location="'Load &amp; loss characteristics'!$C$25" display="'Load &amp; loss characteristics'!$C$25" xr:uid="{00000000-0004-0000-0300-0000A4000000}"/>
    <hyperlink ref="F104" location="'Load &amp; loss characteristics'!A4" display="'" xr:uid="{00000000-0004-0000-0300-0000A5000000}"/>
    <hyperlink ref="G104" location="'Load &amp; loss characteristics'!$C$35" display="'Load &amp; loss characteristics'!$C$35" xr:uid="{00000000-0004-0000-0300-0000A6000000}"/>
    <hyperlink ref="F105" location="'Load &amp; loss characteristics'!A4" display="'" xr:uid="{00000000-0004-0000-0300-0000A7000000}"/>
    <hyperlink ref="G105" location="'Load &amp; loss characteristics'!$C$40" display="'Load &amp; loss characteristics'!$C$40" xr:uid="{00000000-0004-0000-0300-0000A8000000}"/>
    <hyperlink ref="F106" location="'Load &amp; loss characteristics'!A4" display="'" xr:uid="{00000000-0004-0000-0300-0000A9000000}"/>
    <hyperlink ref="G106" location="'Load &amp; loss characteristics'!$C$121" display="'Load &amp; loss characteristics'!$C$121" xr:uid="{00000000-0004-0000-0300-0000AA000000}"/>
    <hyperlink ref="F107" location="'Customer contributions'!A4" display="'" xr:uid="{00000000-0004-0000-0300-0000AB000000}"/>
    <hyperlink ref="G107" location="'Customer contributions'!$C$16" display="'Customer contributions'!$C$16" xr:uid="{00000000-0004-0000-0300-0000AC000000}"/>
    <hyperlink ref="F108" location="'Customer contributions'!A4" display="'" xr:uid="{00000000-0004-0000-0300-0000AD000000}"/>
    <hyperlink ref="G108" location="'Customer contributions'!$C$38" display="'Customer contributions'!$C$38" xr:uid="{00000000-0004-0000-0300-0000AE000000}"/>
    <hyperlink ref="F109" location="'Volume adjustments'!A4" display="'" xr:uid="{00000000-0004-0000-0300-0000AF000000}"/>
    <hyperlink ref="G109" location="'Volume adjustments'!$C$15" display="'Volume adjustments'!$C$15" xr:uid="{00000000-0004-0000-0300-0000B0000000}"/>
    <hyperlink ref="F110" location="'Volume adjustments'!A4" display="'" xr:uid="{00000000-0004-0000-0300-0000B1000000}"/>
    <hyperlink ref="G110" location="'Volume adjustments'!$C$55" display="'Volume adjustments'!$C$55" xr:uid="{00000000-0004-0000-0300-0000B2000000}"/>
    <hyperlink ref="F111" location="'Pseudo-load coefficients'!A4" display="'" xr:uid="{00000000-0004-0000-0300-0000B3000000}"/>
    <hyperlink ref="G111" location="'Pseudo-load coefficients'!$C$18" display="'Pseudo-load coefficients'!$C$18" xr:uid="{00000000-0004-0000-0300-0000B4000000}"/>
    <hyperlink ref="F112" location="'Pseudo-load coefficients'!A4" display="'" xr:uid="{00000000-0004-0000-0300-0000B5000000}"/>
    <hyperlink ref="G112" location="'Pseudo-load coefficients'!$C$28" display="'Pseudo-load coefficients'!$C$28" xr:uid="{00000000-0004-0000-0300-0000B6000000}"/>
    <hyperlink ref="F113" location="'Pseudo-load coefficients'!A4" display="'" xr:uid="{00000000-0004-0000-0300-0000B7000000}"/>
    <hyperlink ref="G113" location="'Pseudo-load coefficients'!$C$36" display="'Pseudo-load coefficients'!$C$36" xr:uid="{00000000-0004-0000-0300-0000B8000000}"/>
    <hyperlink ref="F114" location="'Pseudo-load coefficients'!A4" display="'" xr:uid="{00000000-0004-0000-0300-0000B9000000}"/>
    <hyperlink ref="G114" location="'Pseudo-load coefficients'!$C$52" display="'Pseudo-load coefficients'!$C$52" xr:uid="{00000000-0004-0000-0300-0000BA000000}"/>
    <hyperlink ref="F115" location="'Pseudo-load coefficients'!A4" display="'" xr:uid="{00000000-0004-0000-0300-0000BB000000}"/>
    <hyperlink ref="G115" location="'Pseudo-load coefficients'!$C$60" display="'Pseudo-load coefficients'!$C$60" xr:uid="{00000000-0004-0000-0300-0000BC000000}"/>
    <hyperlink ref="F116" location="'Pseudo-load coefficients'!A4" display="'" xr:uid="{00000000-0004-0000-0300-0000BD000000}"/>
    <hyperlink ref="G116" location="'Pseudo-load coefficients'!$C$65" display="'Pseudo-load coefficients'!$C$65" xr:uid="{00000000-0004-0000-0300-0000BE000000}"/>
    <hyperlink ref="F117" location="'Pseudo-load coefficients'!A4" display="'" xr:uid="{00000000-0004-0000-0300-0000BF000000}"/>
    <hyperlink ref="G117" location="'Pseudo-load coefficients'!$C$87" display="'Pseudo-load coefficients'!$C$87" xr:uid="{00000000-0004-0000-0300-0000C0000000}"/>
    <hyperlink ref="F118" location="'Pseudo-load coefficients'!A4" display="'" xr:uid="{00000000-0004-0000-0300-0000C1000000}"/>
    <hyperlink ref="G118" location="'Pseudo-load coefficients'!$C$100" display="'Pseudo-load coefficients'!$C$100" xr:uid="{00000000-0004-0000-0300-0000C2000000}"/>
    <hyperlink ref="F119" location="'Pseudo-load coefficients'!A4" display="'" xr:uid="{00000000-0004-0000-0300-0000C3000000}"/>
    <hyperlink ref="G119" location="'Pseudo-load coefficients'!$C$174" display="'Pseudo-load coefficients'!$C$174" xr:uid="{00000000-0004-0000-0300-0000C4000000}"/>
    <hyperlink ref="F120" location="'Pseudo-load coefficients'!A4" display="'" xr:uid="{00000000-0004-0000-0300-0000C5000000}"/>
    <hyperlink ref="G120" location="'Pseudo-load coefficients'!$C$221" display="'Pseudo-load coefficients'!$C$221" xr:uid="{00000000-0004-0000-0300-0000C6000000}"/>
    <hyperlink ref="F121" location="'Pseudo-load coefficients'!A4" display="'" xr:uid="{00000000-0004-0000-0300-0000C7000000}"/>
    <hyperlink ref="G121" location="'Pseudo-load coefficients'!$C$265" display="'Pseudo-load coefficients'!$C$265" xr:uid="{00000000-0004-0000-0300-0000C8000000}"/>
    <hyperlink ref="F122" location="'Pseudo-load coefficients'!A4" display="'" xr:uid="{00000000-0004-0000-0300-0000C9000000}"/>
    <hyperlink ref="G122" location="'Pseudo-load coefficients'!$C$269" display="'Pseudo-load coefficients'!$C$269" xr:uid="{00000000-0004-0000-0300-0000CA000000}"/>
    <hyperlink ref="F123" location="'System peak demand'!A4" display="'" xr:uid="{00000000-0004-0000-0300-0000CB000000}"/>
    <hyperlink ref="G123" location="'System peak demand'!$C$18" display="'System peak demand'!$C$18" xr:uid="{00000000-0004-0000-0300-0000CC000000}"/>
    <hyperlink ref="F124" location="'System peak demand'!A4" display="'" xr:uid="{00000000-0004-0000-0300-0000CD000000}"/>
    <hyperlink ref="G124" location="'System peak demand'!$C$67" display="'System peak demand'!$C$67" xr:uid="{00000000-0004-0000-0300-0000CE000000}"/>
    <hyperlink ref="F125" location="'System peak demand'!A4" display="'" xr:uid="{00000000-0004-0000-0300-0000CF000000}"/>
    <hyperlink ref="G125" location="'System peak demand'!$C$138" display="'System peak demand'!$C$138" xr:uid="{00000000-0004-0000-0300-0000D0000000}"/>
    <hyperlink ref="F126" location="'System peak demand'!A4" display="'" xr:uid="{00000000-0004-0000-0300-0000D1000000}"/>
    <hyperlink ref="G126" location="'System peak demand'!$C$164" display="'System peak demand'!$C$164" xr:uid="{00000000-0004-0000-0300-0000D2000000}"/>
    <hyperlink ref="F127" location="'System peak demand'!A4" display="'" xr:uid="{00000000-0004-0000-0300-0000D3000000}"/>
    <hyperlink ref="G127" location="'System peak demand'!$C$184" display="'System peak demand'!$C$184" xr:uid="{00000000-0004-0000-0300-0000D4000000}"/>
    <hyperlink ref="F128" location="'System peak demand'!A4" display="'" xr:uid="{00000000-0004-0000-0300-0000D5000000}"/>
    <hyperlink ref="G128" location="'System peak demand'!$C$194" display="'System peak demand'!$C$194" xr:uid="{00000000-0004-0000-0300-0000D6000000}"/>
    <hyperlink ref="F129" location="'System peak demand'!A4" display="'" xr:uid="{00000000-0004-0000-0300-0000D7000000}"/>
    <hyperlink ref="G129" location="'System peak demand'!$C$236" display="'System peak demand'!$C$236" xr:uid="{00000000-0004-0000-0300-0000D8000000}"/>
    <hyperlink ref="F130" location="'System peak demand'!A4" display="'" xr:uid="{00000000-0004-0000-0300-0000D9000000}"/>
    <hyperlink ref="G130" location="'System peak demand'!$C$249" display="'System peak demand'!$C$249" xr:uid="{00000000-0004-0000-0300-0000DA000000}"/>
    <hyperlink ref="F131" location="'System peak demand'!A4" display="'" xr:uid="{00000000-0004-0000-0300-0000DB000000}"/>
    <hyperlink ref="G131" location="'System peak demand'!$C$266" display="'System peak demand'!$C$266" xr:uid="{00000000-0004-0000-0300-0000DC000000}"/>
    <hyperlink ref="F132" location="'Service model assets'!A4" display="'" xr:uid="{00000000-0004-0000-0300-0000DD000000}"/>
    <hyperlink ref="G132" location="'Service model assets'!$C$14" display="'Service model assets'!$C$14" xr:uid="{00000000-0004-0000-0300-0000DE000000}"/>
    <hyperlink ref="F133" location="'Unit costs'!A4" display="'" xr:uid="{00000000-0004-0000-0300-0000DF000000}"/>
    <hyperlink ref="G133" location="'Unit costs'!$C$19" display="'Unit costs'!$C$19" xr:uid="{00000000-0004-0000-0300-0000E0000000}"/>
    <hyperlink ref="F134" location="'Unit costs'!A4" display="'" xr:uid="{00000000-0004-0000-0300-0000E1000000}"/>
    <hyperlink ref="G134" location="'Unit costs'!$C$27" display="'Unit costs'!$C$27" xr:uid="{00000000-0004-0000-0300-0000E2000000}"/>
    <hyperlink ref="F135" location="'Unit costs'!A4" display="'" xr:uid="{00000000-0004-0000-0300-0000E3000000}"/>
    <hyperlink ref="G135" location="'Unit costs'!$C$35" display="'Unit costs'!$C$35" xr:uid="{00000000-0004-0000-0300-0000E4000000}"/>
    <hyperlink ref="F136" location="'Unit costs'!A4" display="'" xr:uid="{00000000-0004-0000-0300-0000E5000000}"/>
    <hyperlink ref="G136" location="'Unit costs'!$C$42" display="'Unit costs'!$C$42" xr:uid="{00000000-0004-0000-0300-0000E6000000}"/>
    <hyperlink ref="F137" location="'Unit costs'!A4" display="'" xr:uid="{00000000-0004-0000-0300-0000E7000000}"/>
    <hyperlink ref="G137" location="'Unit costs'!$C$50" display="'Unit costs'!$C$50" xr:uid="{00000000-0004-0000-0300-0000E8000000}"/>
    <hyperlink ref="F138" location="'Unit costs'!A4" display="'" xr:uid="{00000000-0004-0000-0300-0000E9000000}"/>
    <hyperlink ref="G138" location="'Unit costs'!$C$62" display="'Unit costs'!$C$62" xr:uid="{00000000-0004-0000-0300-0000EA000000}"/>
    <hyperlink ref="F139" location="'Unit costs'!A4" display="'" xr:uid="{00000000-0004-0000-0300-0000EB000000}"/>
    <hyperlink ref="G139" location="'Unit costs'!$C$69" display="'Unit costs'!$C$69" xr:uid="{00000000-0004-0000-0300-0000EC000000}"/>
    <hyperlink ref="F140" location="'Unit costs'!A4" display="'" xr:uid="{00000000-0004-0000-0300-0000ED000000}"/>
    <hyperlink ref="G140" location="'Unit costs'!$C$80" display="'Unit costs'!$C$80" xr:uid="{00000000-0004-0000-0300-0000EE000000}"/>
    <hyperlink ref="F141" location="'Unit costs'!A4" display="'" xr:uid="{00000000-0004-0000-0300-0000EF000000}"/>
    <hyperlink ref="G141" location="'Unit costs'!$C$92" display="'Unit costs'!$C$92" xr:uid="{00000000-0004-0000-0300-0000F0000000}"/>
    <hyperlink ref="F142" location="'Unit costs'!A4" display="'" xr:uid="{00000000-0004-0000-0300-0000F1000000}"/>
    <hyperlink ref="G142" location="'Unit costs'!$C$104" display="'Unit costs'!$C$104" xr:uid="{00000000-0004-0000-0300-0000F2000000}"/>
    <hyperlink ref="F143" location="'Unit costs'!A4" display="'" xr:uid="{00000000-0004-0000-0300-0000F3000000}"/>
    <hyperlink ref="G143" location="'Unit costs'!$C$110" display="'Unit costs'!$C$110" xr:uid="{00000000-0004-0000-0300-0000F4000000}"/>
    <hyperlink ref="F144" location="'Unit costs'!A4" display="'" xr:uid="{00000000-0004-0000-0300-0000F5000000}"/>
    <hyperlink ref="G144" location="'Unit costs'!$C$117" display="'Unit costs'!$C$117" xr:uid="{00000000-0004-0000-0300-0000F6000000}"/>
    <hyperlink ref="F145" location="'Initial unit rates'!A4" display="'" xr:uid="{00000000-0004-0000-0300-0000F7000000}"/>
    <hyperlink ref="G145" location="'Initial unit rates'!$C$13" display="'Initial unit rates'!$C$13" xr:uid="{00000000-0004-0000-0300-0000F8000000}"/>
    <hyperlink ref="F146" location="'Initial unit rates'!A4" display="'" xr:uid="{00000000-0004-0000-0300-0000F9000000}"/>
    <hyperlink ref="G146" location="'Initial unit rates'!$C$118" display="'Initial unit rates'!$C$118" xr:uid="{00000000-0004-0000-0300-0000FA000000}"/>
    <hyperlink ref="F147" location="'Initial unit rates'!A4" display="'" xr:uid="{00000000-0004-0000-0300-0000FB000000}"/>
    <hyperlink ref="G147" location="'Initial unit rates'!$C$146" display="'Initial unit rates'!$C$146" xr:uid="{00000000-0004-0000-0300-0000FC000000}"/>
    <hyperlink ref="F148" location="'Initial unit rates'!A4" display="'" xr:uid="{00000000-0004-0000-0300-0000FD000000}"/>
    <hyperlink ref="G148" location="'Initial unit rates'!$C$175" display="'Initial unit rates'!$C$175" xr:uid="{00000000-0004-0000-0300-0000FE000000}"/>
    <hyperlink ref="F149" location="'Initial unit rates'!A4" display="'" xr:uid="{00000000-0004-0000-0300-0000FF000000}"/>
    <hyperlink ref="G149" location="'Initial unit rates'!$C$204" display="'Initial unit rates'!$C$204" xr:uid="{00000000-0004-0000-0300-000000010000}"/>
    <hyperlink ref="F150" location="'Service model charges'!A4" display="'" xr:uid="{00000000-0004-0000-0300-000001010000}"/>
    <hyperlink ref="G150" location="'Service model charges'!$C$17" display="'Service model charges'!$C$17" xr:uid="{00000000-0004-0000-0300-000002010000}"/>
    <hyperlink ref="F151" location="'Service model charges'!A4" display="'" xr:uid="{00000000-0004-0000-0300-000003010000}"/>
    <hyperlink ref="G151" location="'Service model charges'!$C$33" display="'Service model charges'!$C$33" xr:uid="{00000000-0004-0000-0300-000004010000}"/>
    <hyperlink ref="F152" location="'Service model charges'!A4" display="'" xr:uid="{00000000-0004-0000-0300-000005010000}"/>
    <hyperlink ref="G152" location="'Service model charges'!$C$37" display="'Service model charges'!$C$37" xr:uid="{00000000-0004-0000-0300-000006010000}"/>
    <hyperlink ref="F153" location="'Unit rate charges'!A4" display="'" xr:uid="{00000000-0004-0000-0300-000007010000}"/>
    <hyperlink ref="G153" location="'Unit rate charges'!$C$19" display="'Unit rate charges'!$C$19" xr:uid="{00000000-0004-0000-0300-000008010000}"/>
    <hyperlink ref="F154" location="'Unit rate charges'!A4" display="'" xr:uid="{00000000-0004-0000-0300-000009010000}"/>
    <hyperlink ref="G154" location="'Unit rate charges'!$C$49" display="'Unit rate charges'!$C$49" xr:uid="{00000000-0004-0000-0300-00000A010000}"/>
    <hyperlink ref="F155" location="'Unit rate charges'!A4" display="'" xr:uid="{00000000-0004-0000-0300-00000B010000}"/>
    <hyperlink ref="G155" location="'Unit rate charges'!$C$79" display="'Unit rate charges'!$C$79" xr:uid="{00000000-0004-0000-0300-00000C010000}"/>
    <hyperlink ref="F156" location="'Unit rate charges'!A4" display="'" xr:uid="{00000000-0004-0000-0300-00000D010000}"/>
    <hyperlink ref="G156" location="'Unit rate charges'!$C$109" display="'Unit rate charges'!$C$109" xr:uid="{00000000-0004-0000-0300-00000E010000}"/>
    <hyperlink ref="F157" location="'Unit rate charges'!A4" display="'" xr:uid="{00000000-0004-0000-0300-00000F010000}"/>
    <hyperlink ref="G157" location="'Unit rate charges'!$C$124" display="'Unit rate charges'!$C$124" xr:uid="{00000000-0004-0000-0300-000010010000}"/>
    <hyperlink ref="F158" location="'Unit rate charges'!A4" display="'" xr:uid="{00000000-0004-0000-0300-000011010000}"/>
    <hyperlink ref="G158" location="'Unit rate charges'!$C$154" display="'Unit rate charges'!$C$154" xr:uid="{00000000-0004-0000-0300-000012010000}"/>
    <hyperlink ref="F159" location="'Unit rate charges'!A4" display="'" xr:uid="{00000000-0004-0000-0300-000013010000}"/>
    <hyperlink ref="G159" location="'Unit rate charges'!$C$184" display="'Unit rate charges'!$C$184" xr:uid="{00000000-0004-0000-0300-000014010000}"/>
    <hyperlink ref="F160" location="'Unit rate charges'!A4" display="'" xr:uid="{00000000-0004-0000-0300-000015010000}"/>
    <hyperlink ref="G160" location="'Unit rate charges'!$C$214" display="'Unit rate charges'!$C$214" xr:uid="{00000000-0004-0000-0300-000016010000}"/>
    <hyperlink ref="F161" location="'Reactive power charges'!A4" display="'" xr:uid="{00000000-0004-0000-0300-000017010000}"/>
    <hyperlink ref="G161" location="'Reactive power charges'!$C$17" display="'Reactive power charges'!$C$17" xr:uid="{00000000-0004-0000-0300-000018010000}"/>
    <hyperlink ref="F162" location="'Reactive power charges'!A4" display="'" xr:uid="{00000000-0004-0000-0300-000019010000}"/>
    <hyperlink ref="G162" location="'Reactive power charges'!$C$120" display="'Reactive power charges'!$C$120" xr:uid="{00000000-0004-0000-0300-00001A010000}"/>
    <hyperlink ref="F163" location="'Reactive power charges'!A4" display="'" xr:uid="{00000000-0004-0000-0300-00001B010000}"/>
    <hyperlink ref="G163" location="'Reactive power charges'!$C$155" display="'Reactive power charges'!$C$155" xr:uid="{00000000-0004-0000-0300-00001C010000}"/>
    <hyperlink ref="F164" location="'Reactive power charges'!A4" display="'" xr:uid="{00000000-0004-0000-0300-00001D010000}"/>
    <hyperlink ref="G164" location="'Reactive power charges'!$C$190" display="'Reactive power charges'!$C$190" xr:uid="{00000000-0004-0000-0300-00001E010000}"/>
    <hyperlink ref="F165" location="'Reactive power charges'!A4" display="'" xr:uid="{00000000-0004-0000-0300-00001F010000}"/>
    <hyperlink ref="G165" location="'Reactive power charges'!$C$220" display="'Reactive power charges'!$C$220" xr:uid="{00000000-0004-0000-0300-000020010000}"/>
    <hyperlink ref="F166" location="'Capacity charges'!A4" display="'" xr:uid="{00000000-0004-0000-0300-000021010000}"/>
    <hyperlink ref="G166" location="'Capacity charges'!$C$19" display="'Capacity charges'!$C$19" xr:uid="{00000000-0004-0000-0300-000022010000}"/>
    <hyperlink ref="F167" location="'Capacity charges'!A4" display="'" xr:uid="{00000000-0004-0000-0300-000023010000}"/>
    <hyperlink ref="G167" location="'Capacity charges'!$C$129" display="'Capacity charges'!$C$129" xr:uid="{00000000-0004-0000-0300-000024010000}"/>
    <hyperlink ref="F168" location="'Capacity charges'!A4" display="'" xr:uid="{00000000-0004-0000-0300-000025010000}"/>
    <hyperlink ref="G168" location="'Capacity charges'!$C$159" display="'Capacity charges'!$C$159" xr:uid="{00000000-0004-0000-0300-000026010000}"/>
    <hyperlink ref="F169" location="'Capacity charges'!A4" display="'" xr:uid="{00000000-0004-0000-0300-000027010000}"/>
    <hyperlink ref="G169" location="'Capacity charges'!$C$189" display="'Capacity charges'!$C$189" xr:uid="{00000000-0004-0000-0300-000028010000}"/>
    <hyperlink ref="F170" location="'Capacity charges'!A4" display="'" xr:uid="{00000000-0004-0000-0300-000029010000}"/>
    <hyperlink ref="G170" location="'Capacity charges'!$C$219" display="'Capacity charges'!$C$219" xr:uid="{00000000-0004-0000-0300-00002A010000}"/>
    <hyperlink ref="F171" location="'Capacity charges'!A4" display="'" xr:uid="{00000000-0004-0000-0300-00002B010000}"/>
    <hyperlink ref="G171" location="'Capacity charges'!$C$254" display="'Capacity charges'!$C$254" xr:uid="{00000000-0004-0000-0300-00002C010000}"/>
    <hyperlink ref="F172" location="'Capacity charges'!A4" display="'" xr:uid="{00000000-0004-0000-0300-00002D010000}"/>
    <hyperlink ref="G172" location="'Capacity charges'!$C$259" display="'Capacity charges'!$C$259" xr:uid="{00000000-0004-0000-0300-00002E010000}"/>
    <hyperlink ref="F173" location="'Fixed charges'!A4" display="'" xr:uid="{00000000-0004-0000-0300-00002F010000}"/>
    <hyperlink ref="G173" location="'Fixed charges'!$C$16" display="'Fixed charges'!$C$16" xr:uid="{00000000-0004-0000-0300-000030010000}"/>
    <hyperlink ref="F174" location="'Fixed charges'!A4" display="'" xr:uid="{00000000-0004-0000-0300-000031010000}"/>
    <hyperlink ref="G174" location="'Fixed charges'!$C$22" display="'Fixed charges'!$C$22" xr:uid="{00000000-0004-0000-0300-000032010000}"/>
    <hyperlink ref="F175" location="'Fixed charges'!A4" display="'" xr:uid="{00000000-0004-0000-0300-000033010000}"/>
    <hyperlink ref="G175" location="'Fixed charges'!$C$52" display="'Fixed charges'!$C$52" xr:uid="{00000000-0004-0000-0300-000034010000}"/>
    <hyperlink ref="F176" location="'Fixed charges'!A4" display="'" xr:uid="{00000000-0004-0000-0300-000035010000}"/>
    <hyperlink ref="G176" location="'Fixed charges'!$C$58" display="'Fixed charges'!$C$58" xr:uid="{00000000-0004-0000-0300-000036010000}"/>
    <hyperlink ref="F177" location="'Fixed charges'!A4" display="'" xr:uid="{00000000-0004-0000-0300-000037010000}"/>
    <hyperlink ref="G177" location="'Fixed charges'!$C$67" display="'Fixed charges'!$C$67" xr:uid="{00000000-0004-0000-0300-000038010000}"/>
    <hyperlink ref="F178" location="'Fixed charges'!A4" display="'" xr:uid="{00000000-0004-0000-0300-000039010000}"/>
    <hyperlink ref="G178" location="'Fixed charges'!$C$97" display="'Fixed charges'!$C$97" xr:uid="{00000000-0004-0000-0300-00003A010000}"/>
    <hyperlink ref="F179" location="'Fixed charges'!A4" display="'" xr:uid="{00000000-0004-0000-0300-00003B010000}"/>
    <hyperlink ref="G179" location="'Fixed charges'!$C$127" display="'Fixed charges'!$C$127" xr:uid="{00000000-0004-0000-0300-00003C010000}"/>
    <hyperlink ref="F180" location="'Fixed charges'!A4" display="'" xr:uid="{00000000-0004-0000-0300-00003D010000}"/>
    <hyperlink ref="G180" location="'Fixed charges'!$C$159" display="'Fixed charges'!$C$159" xr:uid="{00000000-0004-0000-0300-00003E010000}"/>
    <hyperlink ref="F181" location="'Revenue matching'!A4" display="'" xr:uid="{00000000-0004-0000-0300-00003F010000}"/>
    <hyperlink ref="G181" location="'Revenue matching'!$C$15" display="'Revenue matching'!$C$15" xr:uid="{00000000-0004-0000-0300-000040010000}"/>
    <hyperlink ref="F182" location="'Revenue matching'!A4" display="'" xr:uid="{00000000-0004-0000-0300-000041010000}"/>
    <hyperlink ref="G182" location="'Revenue matching'!$C$45" display="'Revenue matching'!$C$45" xr:uid="{00000000-0004-0000-0300-000042010000}"/>
    <hyperlink ref="F183" location="'Revenue matching'!A4" display="'" xr:uid="{00000000-0004-0000-0300-000043010000}"/>
    <hyperlink ref="G183" location="'Revenue matching'!$C$68" display="'Revenue matching'!$C$68" xr:uid="{00000000-0004-0000-0300-000044010000}"/>
    <hyperlink ref="F184" location="'Revenue matching'!A4" display="'" xr:uid="{00000000-0004-0000-0300-000045010000}"/>
    <hyperlink ref="G184" location="'Revenue matching'!$C$92" display="'Revenue matching'!$C$92" xr:uid="{00000000-0004-0000-0300-000046010000}"/>
    <hyperlink ref="F185" location="'Revenue matching'!A4" display="'" xr:uid="{00000000-0004-0000-0300-000047010000}"/>
    <hyperlink ref="G185" location="'Revenue matching'!$C$131" display="'Revenue matching'!$C$131" xr:uid="{00000000-0004-0000-0300-000048010000}"/>
    <hyperlink ref="F186" location="'Fixed charge adder'!A4" display="'" xr:uid="{00000000-0004-0000-0300-000049010000}"/>
    <hyperlink ref="G186" location="'Fixed charge adder'!$C$16" display="'Fixed charge adder'!$C$16" xr:uid="{00000000-0004-0000-0300-00004A010000}"/>
    <hyperlink ref="F187" location="'Fixed charge adder'!A4" display="'" xr:uid="{00000000-0004-0000-0300-00004B010000}"/>
    <hyperlink ref="G187" location="'Fixed charge adder'!$C$33" display="'Fixed charge adder'!$C$33" xr:uid="{00000000-0004-0000-0300-00004C010000}"/>
    <hyperlink ref="F188" location="'Fixed charge adder'!A4" display="'" xr:uid="{00000000-0004-0000-0300-00004D010000}"/>
    <hyperlink ref="G188" location="'Fixed charge adder'!$C$48" display="'Fixed charge adder'!$C$48" xr:uid="{00000000-0004-0000-0300-00004E010000}"/>
    <hyperlink ref="F189" location="'Rounding'!A4" display="'" xr:uid="{00000000-0004-0000-0300-00004F010000}"/>
    <hyperlink ref="G189" location="'Rounding'!$C$16" display="'Rounding'!$C$16" xr:uid="{00000000-0004-0000-0300-000050010000}"/>
    <hyperlink ref="F190" location="'Rounding'!A4" display="'" xr:uid="{00000000-0004-0000-0300-000051010000}"/>
    <hyperlink ref="G190" location="'Rounding'!$C$28" display="'Rounding'!$C$28" xr:uid="{00000000-0004-0000-0300-000052010000}"/>
    <hyperlink ref="F191" location="'Rounding'!A4" display="'" xr:uid="{00000000-0004-0000-0300-000053010000}"/>
    <hyperlink ref="G191" location="'Rounding'!$C$40" display="'Rounding'!$C$40" xr:uid="{00000000-0004-0000-0300-000054010000}"/>
    <hyperlink ref="F192" location="'Rounding'!A4" display="'" xr:uid="{00000000-0004-0000-0300-000055010000}"/>
    <hyperlink ref="G192" location="'Rounding'!$C$52" display="'Rounding'!$C$52" xr:uid="{00000000-0004-0000-0300-000056010000}"/>
    <hyperlink ref="F193" location="'Rounding'!A4" display="'" xr:uid="{00000000-0004-0000-0300-000057010000}"/>
    <hyperlink ref="G193" location="'Rounding'!$C$72" display="'Rounding'!$C$72" xr:uid="{00000000-0004-0000-0300-000058010000}"/>
    <hyperlink ref="F194" location="'Rounding'!A4" display="'" xr:uid="{00000000-0004-0000-0300-000059010000}"/>
    <hyperlink ref="G194" location="'Rounding'!$C$87" display="'Rounding'!$C$87" xr:uid="{00000000-0004-0000-0300-00005A010000}"/>
    <hyperlink ref="F195" location="'Rounding'!A4" display="'" xr:uid="{00000000-0004-0000-0300-00005B010000}"/>
    <hyperlink ref="G195" location="'Rounding'!$C$98" display="'Rounding'!$C$98" xr:uid="{00000000-0004-0000-0300-00005C010000}"/>
    <hyperlink ref="F196" location="'Rounding'!A4" display="'" xr:uid="{00000000-0004-0000-0300-00005D010000}"/>
    <hyperlink ref="G196" location="'Rounding'!$C$127" display="'Rounding'!$C$127" xr:uid="{00000000-0004-0000-0300-00005E010000}"/>
    <hyperlink ref="F197" location="'Net revenue summary'!A4" display="'" xr:uid="{00000000-0004-0000-0300-00005F010000}"/>
    <hyperlink ref="G197" location="'Net revenue summary'!$C$13" display="'Net revenue summary'!$C$13" xr:uid="{00000000-0004-0000-0300-000060010000}"/>
    <hyperlink ref="F198" location="'Net revenue summary'!A4" display="'" xr:uid="{00000000-0004-0000-0300-000061010000}"/>
    <hyperlink ref="G198" location="'Net revenue summary'!$C$42" display="'Net revenue summary'!$C$42" xr:uid="{00000000-0004-0000-0300-000062010000}"/>
    <hyperlink ref="F199" location="'Net revenue summary'!A4" display="'" xr:uid="{00000000-0004-0000-0300-000063010000}"/>
    <hyperlink ref="G199" location="'Net revenue summary'!$C$71" display="'Net revenue summary'!$C$71" xr:uid="{00000000-0004-0000-0300-000064010000}"/>
    <hyperlink ref="F200" location="'Net revenue summary'!A4" display="'" xr:uid="{00000000-0004-0000-0300-000065010000}"/>
    <hyperlink ref="G200" location="'Net revenue summary'!$C$81" display="'Net revenue summary'!$C$81" xr:uid="{00000000-0004-0000-0300-000066010000}"/>
    <hyperlink ref="F201" location="'Net revenue summary'!A4" display="'" xr:uid="{00000000-0004-0000-0300-000067010000}"/>
    <hyperlink ref="G201" location="'Net revenue summary'!$C$113" display="'Net revenue summary'!$C$113" xr:uid="{00000000-0004-0000-0300-000068010000}"/>
    <hyperlink ref="F202" location="'Net revenue summary'!A4" display="'" xr:uid="{00000000-0004-0000-0300-000069010000}"/>
    <hyperlink ref="G202" location="'Net revenue summary'!$C$126" display="'Net revenue summary'!$C$126" xr:uid="{00000000-0004-0000-0300-00006A010000}"/>
    <hyperlink ref="F203" location="'Net revenue summary'!A4" display="'" xr:uid="{00000000-0004-0000-0300-00006B010000}"/>
    <hyperlink ref="G203" location="'Net revenue summary'!$C$132" display="'Net revenue summary'!$C$132" xr:uid="{00000000-0004-0000-0300-00006C010000}"/>
    <hyperlink ref="F204" location="'Net revenue summary'!A4" display="'" xr:uid="{00000000-0004-0000-0300-00006D010000}"/>
    <hyperlink ref="G204" location="'Net revenue summary'!$C$140" display="'Net revenue summary'!$C$140" xr:uid="{00000000-0004-0000-0300-00006E010000}"/>
    <hyperlink ref="F205" location="'Net revenue summary'!A4" display="'" xr:uid="{00000000-0004-0000-0300-00006F010000}"/>
    <hyperlink ref="G205" location="'Net revenue summary'!$C$151" display="'Net revenue summary'!$C$151" xr:uid="{00000000-0004-0000-0300-000070010000}"/>
    <hyperlink ref="F206" location="'Net revenue summary'!A4" display="'" xr:uid="{00000000-0004-0000-0300-000071010000}"/>
    <hyperlink ref="G206" location="'Net revenue summary'!$C$166" display="'Net revenue summary'!$C$166" xr:uid="{00000000-0004-0000-0300-000072010000}"/>
    <hyperlink ref="F207" location="'Net revenue summary'!A4" display="'" xr:uid="{00000000-0004-0000-0300-000073010000}"/>
    <hyperlink ref="G207" location="'Net revenue summary'!$C$190" display="'Net revenue summary'!$C$190" xr:uid="{00000000-0004-0000-0300-000074010000}"/>
    <hyperlink ref="F208" location="'Tariff summary'!A4" display="'" xr:uid="{00000000-0004-0000-0300-000075010000}"/>
    <hyperlink ref="G208" location="'Tariff summary'!$C$13" display="'Tariff summary'!$C$13" xr:uid="{00000000-0004-0000-0300-000076010000}"/>
    <hyperlink ref="F209" location="'Output to other models'!A4" display="'" xr:uid="{00000000-0004-0000-0300-000077010000}"/>
    <hyperlink ref="G209" location="'Output to other models'!$C$14" display="'Output to other models'!$C$14" xr:uid="{00000000-0004-0000-0300-000078010000}"/>
    <hyperlink ref="F210" location="'Output to other models'!A4" display="'" xr:uid="{00000000-0004-0000-0300-000079010000}"/>
    <hyperlink ref="G210" location="'Output to other models'!$C$27" display="'Output to other models'!$C$27" xr:uid="{00000000-0004-0000-0300-00007A010000}"/>
    <hyperlink ref="F211" location="'Output to other models'!A4" display="'" xr:uid="{00000000-0004-0000-0300-00007B010000}"/>
    <hyperlink ref="G211" location="'Output to other models'!$C$40" display="'Output to other models'!$C$40" xr:uid="{00000000-0004-0000-0300-00007C010000}"/>
    <hyperlink ref="F212" location="'Output to other models'!A4" display="'" xr:uid="{00000000-0004-0000-0300-00007D010000}"/>
    <hyperlink ref="G212" location="'Output to other models'!$C$55" display="'Output to other models'!$C$55" xr:uid="{00000000-0004-0000-0300-00007E010000}"/>
    <hyperlink ref="F213" location="'Output to other models'!A4" display="'" xr:uid="{00000000-0004-0000-0300-00007F010000}"/>
    <hyperlink ref="G213" location="'Output to other models'!$C$65" display="'Output to other models'!$C$65" xr:uid="{00000000-0004-0000-0300-00008001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6" tint="0.39997558519241921"/>
  </sheetPr>
  <dimension ref="A1:AA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27" width="0" hidden="1" customWidth="1"/>
    <col min="28" max="16384" width="9.28515625" hidden="1"/>
  </cols>
  <sheetData>
    <row r="1" spans="1:8" s="1" customFormat="1" x14ac:dyDescent="0.25">
      <c r="A1" s="1" t="str">
        <f ca="1">MID(CELL("filename",A1),FIND("]",CELL("filename",A1))+1,255)</f>
        <v>Named ranges</v>
      </c>
    </row>
    <row r="2" spans="1:8" s="1" customFormat="1" x14ac:dyDescent="0.25">
      <c r="A2" s="1" t="str">
        <f>Cover!D21&amp;" - "&amp;Cover!D23</f>
        <v xml:space="preserve">SHEPD  - Final </v>
      </c>
    </row>
    <row r="3" spans="1:8" s="5" customFormat="1" x14ac:dyDescent="0.25">
      <c r="A3" s="5" t="str">
        <f>Cover!D2&amp;" - "&amp;Cover!D8&amp;" v"&amp;Cover!D10&amp;" - "&amp;Cover!D19</f>
        <v>CDCM charging model - Release for charge setting v5 - 2021/22</v>
      </c>
    </row>
    <row r="5" spans="1:8" x14ac:dyDescent="0.25">
      <c r="B5" s="41" t="s">
        <v>121</v>
      </c>
      <c r="C5" s="41"/>
      <c r="D5" s="41"/>
      <c r="E5" s="41"/>
      <c r="F5" s="42"/>
      <c r="G5" s="42"/>
      <c r="H5" s="42"/>
    </row>
    <row r="6" spans="1:8" x14ac:dyDescent="0.25">
      <c r="B6" s="40"/>
      <c r="C6" s="40"/>
      <c r="D6" s="40"/>
      <c r="E6" s="40"/>
      <c r="F6" s="43"/>
      <c r="G6" s="40"/>
      <c r="H6" s="40"/>
    </row>
    <row r="7" spans="1:8" x14ac:dyDescent="0.25">
      <c r="F7" s="58" t="s">
        <v>122</v>
      </c>
      <c r="G7" t="s">
        <v>123</v>
      </c>
      <c r="H7" t="s">
        <v>114</v>
      </c>
    </row>
    <row r="8" spans="1:8" x14ac:dyDescent="0.25">
      <c r="F8" s="58" t="s">
        <v>124</v>
      </c>
      <c r="G8" t="s">
        <v>125</v>
      </c>
      <c r="H8" t="s">
        <v>53</v>
      </c>
    </row>
    <row r="9" spans="1:8" x14ac:dyDescent="0.25">
      <c r="F9" s="58" t="s">
        <v>126</v>
      </c>
      <c r="G9" t="s">
        <v>127</v>
      </c>
      <c r="H9" t="s">
        <v>60</v>
      </c>
    </row>
    <row r="10" spans="1:8" x14ac:dyDescent="0.25">
      <c r="F10" s="58" t="s">
        <v>128</v>
      </c>
      <c r="G10" t="s">
        <v>129</v>
      </c>
      <c r="H10" t="s">
        <v>114</v>
      </c>
    </row>
    <row r="11" spans="1:8" x14ac:dyDescent="0.25">
      <c r="F11" s="58" t="s">
        <v>130</v>
      </c>
      <c r="G11" t="s">
        <v>131</v>
      </c>
      <c r="H11" t="s">
        <v>53</v>
      </c>
    </row>
    <row r="12" spans="1:8" x14ac:dyDescent="0.25">
      <c r="F12" s="58" t="s">
        <v>132</v>
      </c>
      <c r="G12" t="s">
        <v>133</v>
      </c>
      <c r="H12" t="s">
        <v>60</v>
      </c>
    </row>
    <row r="13" spans="1:8" x14ac:dyDescent="0.25">
      <c r="F13" s="58" t="s">
        <v>134</v>
      </c>
      <c r="G13" t="s">
        <v>135</v>
      </c>
      <c r="H13" t="s">
        <v>53</v>
      </c>
    </row>
    <row r="14" spans="1:8" x14ac:dyDescent="0.25">
      <c r="F14" s="58" t="s">
        <v>136</v>
      </c>
      <c r="G14" t="s">
        <v>137</v>
      </c>
      <c r="H14" t="s">
        <v>53</v>
      </c>
    </row>
    <row r="15" spans="1:8" x14ac:dyDescent="0.25">
      <c r="F15" s="58" t="s">
        <v>138</v>
      </c>
      <c r="G15" t="s">
        <v>139</v>
      </c>
      <c r="H15" t="s">
        <v>53</v>
      </c>
    </row>
    <row r="16" spans="1:8" x14ac:dyDescent="0.25">
      <c r="F16" s="58" t="s">
        <v>140</v>
      </c>
      <c r="G16" t="s">
        <v>141</v>
      </c>
      <c r="H16" t="s">
        <v>53</v>
      </c>
    </row>
    <row r="17" spans="2:8" x14ac:dyDescent="0.25">
      <c r="F17" s="58"/>
    </row>
    <row r="18" spans="2:8" x14ac:dyDescent="0.25">
      <c r="B18" s="41" t="s">
        <v>106</v>
      </c>
      <c r="C18" s="41"/>
      <c r="D18" s="41"/>
      <c r="E18" s="41"/>
      <c r="F18" s="42"/>
      <c r="G18" s="42"/>
      <c r="H18" s="42"/>
    </row>
  </sheetData>
  <sheetProtection sheet="1" objects="1" formatCells="0" formatColumns="0" formatRows="0" sort="0" autoFilter="0"/>
  <hyperlinks>
    <hyperlink ref="F7" location="Cover!$D$19" display="charging_year" xr:uid="{00000000-0004-0000-0400-000000000000}"/>
    <hyperlink ref="F8" location="'Fixed inputs'!H154" display="check_decimals" xr:uid="{00000000-0004-0000-0400-000001000000}"/>
    <hyperlink ref="F9" location="'General inputs'!$H$90" display="days_in_year" xr:uid="{00000000-0004-0000-0400-000002000000}"/>
    <hyperlink ref="F10" location="Cover!$D$21" display="DNO_name" xr:uid="{00000000-0004-0000-0400-000003000000}"/>
    <hyperlink ref="F11" location="'Fixed inputs'!$H$15" display="hours_in_day" xr:uid="{00000000-0004-0000-0400-000004000000}"/>
    <hyperlink ref="F12" location="'General inputs'!$H$91" display="hours_in_year" xr:uid="{00000000-0004-0000-0400-000005000000}"/>
    <hyperlink ref="F13" location="'Fixed inputs'!$H$17" display="hundred" xr:uid="{00000000-0004-0000-0400-000006000000}"/>
    <hyperlink ref="F14" location="'Fixed inputs'!$H$37" display="PowerFactor" xr:uid="{00000000-0004-0000-0400-000007000000}"/>
    <hyperlink ref="F15" location="'Fixed inputs'!$H$16" display="ten" xr:uid="{00000000-0004-0000-0400-000008000000}"/>
    <hyperlink ref="F16" location="'Fixed inputs'!$H$18" display="thousand" xr:uid="{00000000-0004-0000-0400-000009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59999389629810485"/>
  </sheetPr>
  <dimension ref="A1:BI1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4" width="9.28515625" hidden="1" customWidth="1"/>
    <col min="45" max="16384" width="9.28515625" hidden="1"/>
  </cols>
  <sheetData>
    <row r="1" spans="1:27" s="1" customFormat="1" x14ac:dyDescent="0.25">
      <c r="A1" s="1" t="str">
        <f ca="1">MID(CELL("filename",A1),FIND("]",CELL("filename",A1))+1,255)</f>
        <v>Fixed inputs</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H172 &amp; IF(H172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146</v>
      </c>
    </row>
    <row r="11" spans="1:27" x14ac:dyDescent="0.25">
      <c r="B11" s="30" t="s">
        <v>53</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25">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row>
    <row r="15" spans="1:27" x14ac:dyDescent="0.25">
      <c r="E15" s="28" t="s">
        <v>131</v>
      </c>
      <c r="G15" t="s">
        <v>147</v>
      </c>
      <c r="H15" s="246">
        <v>24</v>
      </c>
    </row>
    <row r="16" spans="1:27" x14ac:dyDescent="0.25">
      <c r="E16" s="28" t="s">
        <v>148</v>
      </c>
      <c r="G16" t="s">
        <v>149</v>
      </c>
      <c r="H16" s="246">
        <v>10</v>
      </c>
    </row>
    <row r="17" spans="3:27" x14ac:dyDescent="0.25">
      <c r="E17" s="28" t="s">
        <v>150</v>
      </c>
      <c r="G17" t="s">
        <v>149</v>
      </c>
      <c r="H17" s="246">
        <v>100</v>
      </c>
    </row>
    <row r="18" spans="3:27" x14ac:dyDescent="0.25">
      <c r="E18" s="28" t="s">
        <v>151</v>
      </c>
      <c r="G18" t="s">
        <v>149</v>
      </c>
      <c r="H18" s="246">
        <v>1000</v>
      </c>
    </row>
    <row r="20" spans="3:27" x14ac:dyDescent="0.25">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row>
    <row r="22" spans="3:27" x14ac:dyDescent="0.25">
      <c r="D22" s="29" t="s">
        <v>152</v>
      </c>
    </row>
    <row r="23" spans="3:27" x14ac:dyDescent="0.25">
      <c r="E23" s="32"/>
    </row>
    <row r="24" spans="3:27" x14ac:dyDescent="0.25">
      <c r="E24" s="32" t="s">
        <v>153</v>
      </c>
      <c r="F24" s="29"/>
      <c r="I24" t="s">
        <v>154</v>
      </c>
      <c r="AA24" t="s">
        <v>155</v>
      </c>
    </row>
    <row r="25" spans="3:27" x14ac:dyDescent="0.25">
      <c r="F25" s="23" t="s">
        <v>156</v>
      </c>
      <c r="G25" s="23" t="s">
        <v>149</v>
      </c>
      <c r="H25" s="250">
        <v>3</v>
      </c>
    </row>
    <row r="26" spans="3:27" x14ac:dyDescent="0.25">
      <c r="F26" t="s">
        <v>157</v>
      </c>
      <c r="G26" t="s">
        <v>149</v>
      </c>
      <c r="H26" s="246">
        <v>3</v>
      </c>
    </row>
    <row r="27" spans="3:27" x14ac:dyDescent="0.25">
      <c r="F27" t="s">
        <v>158</v>
      </c>
      <c r="G27" t="s">
        <v>149</v>
      </c>
      <c r="H27" s="246">
        <v>3</v>
      </c>
    </row>
    <row r="28" spans="3:27" x14ac:dyDescent="0.25">
      <c r="F28" t="s">
        <v>159</v>
      </c>
      <c r="G28" t="s">
        <v>149</v>
      </c>
      <c r="H28" s="246">
        <v>2</v>
      </c>
    </row>
    <row r="29" spans="3:27" x14ac:dyDescent="0.25">
      <c r="F29" t="s">
        <v>160</v>
      </c>
      <c r="G29" t="s">
        <v>149</v>
      </c>
      <c r="H29" s="246">
        <v>2</v>
      </c>
    </row>
    <row r="30" spans="3:27" x14ac:dyDescent="0.25">
      <c r="F30" t="s">
        <v>161</v>
      </c>
      <c r="G30" t="s">
        <v>149</v>
      </c>
      <c r="H30" s="246">
        <v>2</v>
      </c>
    </row>
    <row r="31" spans="3:27" x14ac:dyDescent="0.25">
      <c r="F31" s="37" t="s">
        <v>162</v>
      </c>
      <c r="G31" s="37" t="s">
        <v>149</v>
      </c>
      <c r="H31" s="251">
        <v>3</v>
      </c>
    </row>
    <row r="33" spans="3:27" x14ac:dyDescent="0.25">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5" spans="3:27" x14ac:dyDescent="0.25">
      <c r="E35" s="28" t="s">
        <v>163</v>
      </c>
      <c r="G35" t="s">
        <v>164</v>
      </c>
      <c r="H35" s="246">
        <v>40</v>
      </c>
      <c r="I35" t="s">
        <v>154</v>
      </c>
      <c r="AA35" s="3" t="s">
        <v>165</v>
      </c>
    </row>
    <row r="37" spans="3:27" x14ac:dyDescent="0.25">
      <c r="E37" s="28" t="s">
        <v>166</v>
      </c>
      <c r="G37" t="s">
        <v>167</v>
      </c>
      <c r="H37" s="246">
        <v>0.95</v>
      </c>
      <c r="I37" t="s">
        <v>154</v>
      </c>
      <c r="AA37" t="s">
        <v>168</v>
      </c>
    </row>
    <row r="39" spans="3:27" x14ac:dyDescent="0.25">
      <c r="E39" s="28" t="s">
        <v>169</v>
      </c>
      <c r="G39" t="s">
        <v>167</v>
      </c>
      <c r="H39" s="252">
        <v>0.6</v>
      </c>
      <c r="I39" t="s">
        <v>154</v>
      </c>
      <c r="AA39" s="3" t="s">
        <v>170</v>
      </c>
    </row>
    <row r="41" spans="3:27" x14ac:dyDescent="0.25">
      <c r="E41" s="28" t="s">
        <v>171</v>
      </c>
      <c r="G41" s="28" t="s">
        <v>172</v>
      </c>
      <c r="H41" s="246">
        <v>500</v>
      </c>
      <c r="I41" t="s">
        <v>154</v>
      </c>
      <c r="AA41" s="63" t="s">
        <v>173</v>
      </c>
    </row>
    <row r="43" spans="3:27" x14ac:dyDescent="0.25">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row>
    <row r="45" spans="3:27" x14ac:dyDescent="0.25">
      <c r="E45" s="32" t="s">
        <v>174</v>
      </c>
    </row>
    <row r="46" spans="3:27" x14ac:dyDescent="0.25">
      <c r="F46" s="64" t="s">
        <v>175</v>
      </c>
      <c r="G46" s="23" t="s">
        <v>176</v>
      </c>
      <c r="H46" s="23"/>
      <c r="I46" s="23"/>
      <c r="J46" s="250">
        <v>1</v>
      </c>
      <c r="K46" s="250">
        <v>1</v>
      </c>
      <c r="L46" s="250">
        <v>1</v>
      </c>
      <c r="M46" s="250">
        <v>1</v>
      </c>
      <c r="N46" s="250">
        <v>1</v>
      </c>
      <c r="O46" s="250">
        <v>0</v>
      </c>
      <c r="P46" s="250">
        <v>0</v>
      </c>
      <c r="Q46" s="250">
        <v>1</v>
      </c>
      <c r="R46" s="65"/>
      <c r="S46" s="65"/>
      <c r="T46" s="65"/>
      <c r="U46" s="65"/>
      <c r="V46" s="65"/>
      <c r="W46" s="65"/>
      <c r="X46" s="65"/>
      <c r="Y46" s="65"/>
    </row>
    <row r="47" spans="3:27" x14ac:dyDescent="0.25">
      <c r="F47" s="28" t="s">
        <v>177</v>
      </c>
      <c r="G47" t="s">
        <v>176</v>
      </c>
      <c r="J47" s="246">
        <v>1</v>
      </c>
      <c r="K47" s="246">
        <v>1</v>
      </c>
      <c r="L47" s="246">
        <v>1</v>
      </c>
      <c r="M47" s="246">
        <v>1</v>
      </c>
      <c r="N47" s="246">
        <v>1</v>
      </c>
      <c r="O47" s="246">
        <v>0</v>
      </c>
      <c r="P47" s="246">
        <v>0</v>
      </c>
      <c r="Q47" s="246">
        <v>1</v>
      </c>
      <c r="R47" s="66"/>
      <c r="S47" s="66"/>
      <c r="T47" s="66"/>
      <c r="U47" s="66"/>
      <c r="V47" s="66"/>
      <c r="W47" s="66"/>
      <c r="X47" s="66"/>
      <c r="Y47" s="66"/>
    </row>
    <row r="48" spans="3:27" x14ac:dyDescent="0.25">
      <c r="F48" s="28" t="s">
        <v>178</v>
      </c>
      <c r="G48" t="s">
        <v>176</v>
      </c>
      <c r="J48" s="246">
        <v>0</v>
      </c>
      <c r="K48" s="246">
        <v>0</v>
      </c>
      <c r="L48" s="246">
        <v>0</v>
      </c>
      <c r="M48" s="246">
        <v>0</v>
      </c>
      <c r="N48" s="246">
        <v>0</v>
      </c>
      <c r="O48" s="246">
        <v>1</v>
      </c>
      <c r="P48" s="246">
        <v>0</v>
      </c>
      <c r="Q48" s="246">
        <v>0</v>
      </c>
      <c r="R48" s="66"/>
      <c r="S48" s="66"/>
      <c r="T48" s="66"/>
      <c r="U48" s="66"/>
      <c r="V48" s="66"/>
      <c r="W48" s="66"/>
      <c r="X48" s="66"/>
      <c r="Y48" s="66"/>
    </row>
    <row r="49" spans="5:27" x14ac:dyDescent="0.25">
      <c r="F49" s="67" t="s">
        <v>179</v>
      </c>
      <c r="G49" s="37" t="s">
        <v>176</v>
      </c>
      <c r="H49" s="37"/>
      <c r="I49" s="37"/>
      <c r="J49" s="251">
        <v>0</v>
      </c>
      <c r="K49" s="251">
        <v>0</v>
      </c>
      <c r="L49" s="251">
        <v>0</v>
      </c>
      <c r="M49" s="251">
        <v>0</v>
      </c>
      <c r="N49" s="251">
        <v>0</v>
      </c>
      <c r="O49" s="251">
        <v>0</v>
      </c>
      <c r="P49" s="251">
        <v>1</v>
      </c>
      <c r="Q49" s="251">
        <v>0</v>
      </c>
      <c r="R49" s="68"/>
      <c r="S49" s="68"/>
      <c r="T49" s="68"/>
      <c r="U49" s="68"/>
      <c r="V49" s="68"/>
      <c r="W49" s="68"/>
      <c r="X49" s="68"/>
      <c r="Y49" s="68"/>
    </row>
    <row r="51" spans="5:27" x14ac:dyDescent="0.25">
      <c r="E51" s="32" t="s">
        <v>180</v>
      </c>
      <c r="I51" t="s">
        <v>154</v>
      </c>
      <c r="AA51" s="3" t="s">
        <v>181</v>
      </c>
    </row>
    <row r="52" spans="5:27" x14ac:dyDescent="0.25">
      <c r="E52" s="29" t="s">
        <v>182</v>
      </c>
    </row>
    <row r="53" spans="5:27" x14ac:dyDescent="0.25">
      <c r="F53" s="64" t="s">
        <v>183</v>
      </c>
      <c r="G53" s="23" t="s">
        <v>176</v>
      </c>
      <c r="H53" s="69"/>
      <c r="I53" s="69"/>
      <c r="J53" s="250">
        <v>0</v>
      </c>
      <c r="K53" s="250">
        <v>0</v>
      </c>
      <c r="L53" s="250">
        <v>0</v>
      </c>
      <c r="M53" s="250">
        <v>0</v>
      </c>
      <c r="N53" s="250">
        <v>0</v>
      </c>
      <c r="O53" s="250">
        <v>0</v>
      </c>
      <c r="P53" s="250">
        <v>0</v>
      </c>
      <c r="Q53" s="250">
        <v>0</v>
      </c>
      <c r="R53" s="250">
        <v>0</v>
      </c>
      <c r="S53" s="250">
        <v>0</v>
      </c>
      <c r="T53" s="250">
        <v>0</v>
      </c>
      <c r="U53" s="250">
        <v>0</v>
      </c>
      <c r="V53" s="250">
        <v>0</v>
      </c>
      <c r="W53" s="250">
        <v>0</v>
      </c>
      <c r="X53" s="250">
        <v>0</v>
      </c>
      <c r="Y53" s="250">
        <v>0</v>
      </c>
    </row>
    <row r="54" spans="5:27" x14ac:dyDescent="0.25">
      <c r="F54" s="28" t="s">
        <v>184</v>
      </c>
      <c r="G54" t="s">
        <v>176</v>
      </c>
      <c r="J54" s="246">
        <v>0</v>
      </c>
      <c r="K54" s="246">
        <v>0</v>
      </c>
      <c r="L54" s="246">
        <v>0</v>
      </c>
      <c r="M54" s="246">
        <v>0</v>
      </c>
      <c r="N54" s="246">
        <v>0</v>
      </c>
      <c r="O54" s="246">
        <v>0</v>
      </c>
      <c r="P54" s="246">
        <v>1</v>
      </c>
      <c r="Q54" s="246">
        <v>0</v>
      </c>
      <c r="R54" s="246">
        <v>0</v>
      </c>
      <c r="S54" s="246">
        <v>0</v>
      </c>
      <c r="T54" s="246">
        <v>0</v>
      </c>
      <c r="U54" s="246">
        <v>0</v>
      </c>
      <c r="V54" s="246">
        <v>0</v>
      </c>
      <c r="W54" s="246">
        <v>0</v>
      </c>
      <c r="X54" s="246">
        <v>1</v>
      </c>
      <c r="Y54" s="246">
        <v>1</v>
      </c>
    </row>
    <row r="55" spans="5:27" x14ac:dyDescent="0.25">
      <c r="F55" s="28" t="s">
        <v>185</v>
      </c>
      <c r="G55" t="s">
        <v>176</v>
      </c>
      <c r="J55" s="246">
        <v>0</v>
      </c>
      <c r="K55" s="246">
        <v>0</v>
      </c>
      <c r="L55" s="246">
        <v>0</v>
      </c>
      <c r="M55" s="246">
        <v>0</v>
      </c>
      <c r="N55" s="246">
        <v>0</v>
      </c>
      <c r="O55" s="246">
        <v>1</v>
      </c>
      <c r="P55" s="246">
        <v>0</v>
      </c>
      <c r="Q55" s="246">
        <v>0</v>
      </c>
      <c r="R55" s="246">
        <v>0</v>
      </c>
      <c r="S55" s="246">
        <v>1</v>
      </c>
      <c r="T55" s="246">
        <v>0</v>
      </c>
      <c r="U55" s="246">
        <v>0</v>
      </c>
      <c r="V55" s="246">
        <v>1</v>
      </c>
      <c r="W55" s="246">
        <v>1</v>
      </c>
      <c r="X55" s="246">
        <v>0</v>
      </c>
      <c r="Y55" s="246">
        <v>0</v>
      </c>
    </row>
    <row r="56" spans="5:27" x14ac:dyDescent="0.25">
      <c r="F56" s="67" t="s">
        <v>186</v>
      </c>
      <c r="G56" s="37" t="s">
        <v>176</v>
      </c>
      <c r="H56" s="37"/>
      <c r="I56" s="37"/>
      <c r="J56" s="251">
        <v>1</v>
      </c>
      <c r="K56" s="251">
        <v>1</v>
      </c>
      <c r="L56" s="251">
        <v>1</v>
      </c>
      <c r="M56" s="251">
        <v>1</v>
      </c>
      <c r="N56" s="251">
        <v>1</v>
      </c>
      <c r="O56" s="251">
        <v>0</v>
      </c>
      <c r="P56" s="251">
        <v>0</v>
      </c>
      <c r="Q56" s="251">
        <v>1</v>
      </c>
      <c r="R56" s="251">
        <v>1</v>
      </c>
      <c r="S56" s="251">
        <v>0</v>
      </c>
      <c r="T56" s="251">
        <v>1</v>
      </c>
      <c r="U56" s="251">
        <v>1</v>
      </c>
      <c r="V56" s="251">
        <v>0</v>
      </c>
      <c r="W56" s="251">
        <v>0</v>
      </c>
      <c r="X56" s="251">
        <v>0</v>
      </c>
      <c r="Y56" s="251">
        <v>0</v>
      </c>
    </row>
    <row r="57" spans="5:27" x14ac:dyDescent="0.25">
      <c r="H57" s="3"/>
      <c r="I57" s="3"/>
    </row>
    <row r="58" spans="5:27" x14ac:dyDescent="0.25">
      <c r="E58" s="32" t="s">
        <v>187</v>
      </c>
    </row>
    <row r="59" spans="5:27" x14ac:dyDescent="0.25">
      <c r="E59" s="29" t="s">
        <v>188</v>
      </c>
    </row>
    <row r="60" spans="5:27" x14ac:dyDescent="0.25">
      <c r="F60" s="23" t="s">
        <v>189</v>
      </c>
      <c r="G60" s="23" t="s">
        <v>190</v>
      </c>
      <c r="H60" s="23"/>
      <c r="I60" s="23"/>
      <c r="J60" s="250">
        <v>1</v>
      </c>
      <c r="K60" s="250">
        <v>1</v>
      </c>
      <c r="L60" s="250">
        <v>1</v>
      </c>
      <c r="M60" s="250">
        <v>1</v>
      </c>
      <c r="N60" s="250">
        <v>1</v>
      </c>
      <c r="O60" s="250">
        <v>1</v>
      </c>
      <c r="P60" s="250">
        <v>1</v>
      </c>
      <c r="Q60" s="250">
        <v>1</v>
      </c>
      <c r="R60" s="250">
        <v>-1</v>
      </c>
      <c r="S60" s="250">
        <v>-1</v>
      </c>
      <c r="T60" s="250">
        <v>-1</v>
      </c>
      <c r="U60" s="250">
        <v>-1</v>
      </c>
      <c r="V60" s="250">
        <v>-1</v>
      </c>
      <c r="W60" s="250">
        <v>-1</v>
      </c>
      <c r="X60" s="250">
        <v>-1</v>
      </c>
      <c r="Y60" s="250">
        <v>-1</v>
      </c>
    </row>
    <row r="61" spans="5:27" x14ac:dyDescent="0.25">
      <c r="F61" t="s">
        <v>191</v>
      </c>
      <c r="G61" t="s">
        <v>190</v>
      </c>
      <c r="J61" s="246">
        <v>1</v>
      </c>
      <c r="K61" s="246">
        <v>1</v>
      </c>
      <c r="L61" s="246">
        <v>1</v>
      </c>
      <c r="M61" s="246">
        <v>1</v>
      </c>
      <c r="N61" s="246">
        <v>1</v>
      </c>
      <c r="O61" s="246">
        <v>1</v>
      </c>
      <c r="P61" s="246">
        <v>1</v>
      </c>
      <c r="Q61" s="246">
        <v>1</v>
      </c>
      <c r="R61" s="246">
        <v>-1</v>
      </c>
      <c r="S61" s="246">
        <v>-1</v>
      </c>
      <c r="T61" s="246">
        <v>-1</v>
      </c>
      <c r="U61" s="246">
        <v>-1</v>
      </c>
      <c r="V61" s="246">
        <v>-1</v>
      </c>
      <c r="W61" s="246">
        <v>-1</v>
      </c>
      <c r="X61" s="246">
        <v>-1</v>
      </c>
      <c r="Y61" s="246">
        <v>-1</v>
      </c>
    </row>
    <row r="62" spans="5:27" x14ac:dyDescent="0.25">
      <c r="F62" t="s">
        <v>192</v>
      </c>
      <c r="G62" t="s">
        <v>190</v>
      </c>
      <c r="J62" s="246">
        <v>1</v>
      </c>
      <c r="K62" s="246">
        <v>1</v>
      </c>
      <c r="L62" s="246">
        <v>1</v>
      </c>
      <c r="M62" s="246">
        <v>1</v>
      </c>
      <c r="N62" s="246">
        <v>1</v>
      </c>
      <c r="O62" s="246">
        <v>1</v>
      </c>
      <c r="P62" s="246">
        <v>1</v>
      </c>
      <c r="Q62" s="246">
        <v>1</v>
      </c>
      <c r="R62" s="246">
        <v>-1</v>
      </c>
      <c r="S62" s="246">
        <v>-1</v>
      </c>
      <c r="T62" s="246">
        <v>-1</v>
      </c>
      <c r="U62" s="246">
        <v>-1</v>
      </c>
      <c r="V62" s="246">
        <v>-1</v>
      </c>
      <c r="W62" s="246">
        <v>-1</v>
      </c>
      <c r="X62" s="246">
        <v>-1</v>
      </c>
      <c r="Y62" s="246">
        <v>-1</v>
      </c>
    </row>
    <row r="63" spans="5:27" x14ac:dyDescent="0.25">
      <c r="F63" t="s">
        <v>193</v>
      </c>
      <c r="G63" t="s">
        <v>190</v>
      </c>
      <c r="J63" s="246">
        <v>1</v>
      </c>
      <c r="K63" s="246">
        <v>1</v>
      </c>
      <c r="L63" s="246">
        <v>1</v>
      </c>
      <c r="M63" s="246">
        <v>1</v>
      </c>
      <c r="N63" s="246">
        <v>1</v>
      </c>
      <c r="O63" s="246">
        <v>1</v>
      </c>
      <c r="P63" s="246">
        <v>1</v>
      </c>
      <c r="Q63" s="246">
        <v>1</v>
      </c>
      <c r="R63" s="246">
        <v>-1</v>
      </c>
      <c r="S63" s="246">
        <v>-1</v>
      </c>
      <c r="T63" s="246">
        <v>-1</v>
      </c>
      <c r="U63" s="246">
        <v>-1</v>
      </c>
      <c r="V63" s="246">
        <v>-1</v>
      </c>
      <c r="W63" s="246">
        <v>-1</v>
      </c>
      <c r="X63" s="246">
        <v>-1</v>
      </c>
      <c r="Y63" s="246">
        <v>-1</v>
      </c>
    </row>
    <row r="64" spans="5:27" x14ac:dyDescent="0.25">
      <c r="F64" t="s">
        <v>194</v>
      </c>
      <c r="G64" t="s">
        <v>190</v>
      </c>
      <c r="J64" s="246">
        <v>1</v>
      </c>
      <c r="K64" s="246">
        <v>1</v>
      </c>
      <c r="L64" s="246">
        <v>1</v>
      </c>
      <c r="M64" s="246">
        <v>1</v>
      </c>
      <c r="N64" s="246">
        <v>1</v>
      </c>
      <c r="O64" s="246">
        <v>1</v>
      </c>
      <c r="P64" s="246">
        <v>1</v>
      </c>
      <c r="Q64" s="246">
        <v>1</v>
      </c>
      <c r="R64" s="246">
        <v>-1</v>
      </c>
      <c r="S64" s="246">
        <v>-1</v>
      </c>
      <c r="T64" s="246">
        <v>-1</v>
      </c>
      <c r="U64" s="246">
        <v>-1</v>
      </c>
      <c r="V64" s="246">
        <v>-1</v>
      </c>
      <c r="W64" s="246">
        <v>-1</v>
      </c>
      <c r="X64" s="246">
        <v>-1</v>
      </c>
      <c r="Y64" s="246">
        <v>-1</v>
      </c>
    </row>
    <row r="65" spans="5:27" x14ac:dyDescent="0.25">
      <c r="F65" t="s">
        <v>195</v>
      </c>
      <c r="G65" t="s">
        <v>190</v>
      </c>
      <c r="J65" s="246">
        <v>1</v>
      </c>
      <c r="K65" s="246">
        <v>1</v>
      </c>
      <c r="L65" s="246">
        <v>1</v>
      </c>
      <c r="M65" s="246">
        <v>1</v>
      </c>
      <c r="N65" s="246">
        <v>1</v>
      </c>
      <c r="O65" s="246">
        <v>1</v>
      </c>
      <c r="P65" s="246">
        <v>1</v>
      </c>
      <c r="Q65" s="246">
        <v>1</v>
      </c>
      <c r="R65" s="246">
        <v>-1</v>
      </c>
      <c r="S65" s="246">
        <v>-1</v>
      </c>
      <c r="T65" s="246">
        <v>-1</v>
      </c>
      <c r="U65" s="246">
        <v>-1</v>
      </c>
      <c r="V65" s="246">
        <v>-1</v>
      </c>
      <c r="W65" s="246">
        <v>-1</v>
      </c>
      <c r="X65" s="246">
        <v>-1</v>
      </c>
      <c r="Y65" s="246">
        <v>-1</v>
      </c>
    </row>
    <row r="66" spans="5:27" x14ac:dyDescent="0.25">
      <c r="F66" t="s">
        <v>196</v>
      </c>
      <c r="G66" t="s">
        <v>190</v>
      </c>
      <c r="J66" s="246">
        <v>1</v>
      </c>
      <c r="K66" s="246">
        <v>1</v>
      </c>
      <c r="L66" s="246">
        <v>1</v>
      </c>
      <c r="M66" s="246">
        <v>1</v>
      </c>
      <c r="N66" s="246">
        <v>1</v>
      </c>
      <c r="O66" s="246">
        <v>1</v>
      </c>
      <c r="P66" s="246">
        <v>1</v>
      </c>
      <c r="Q66" s="246">
        <v>1</v>
      </c>
      <c r="R66" s="246">
        <v>-1</v>
      </c>
      <c r="S66" s="246">
        <v>-1</v>
      </c>
      <c r="T66" s="246">
        <v>-1</v>
      </c>
      <c r="U66" s="246">
        <v>-1</v>
      </c>
      <c r="V66" s="246">
        <v>-1</v>
      </c>
      <c r="W66" s="246">
        <v>-1</v>
      </c>
      <c r="X66" s="246">
        <v>-1</v>
      </c>
      <c r="Y66" s="246">
        <v>-1</v>
      </c>
    </row>
    <row r="67" spans="5:27" x14ac:dyDescent="0.25">
      <c r="F67" t="s">
        <v>197</v>
      </c>
      <c r="G67" t="s">
        <v>190</v>
      </c>
      <c r="J67" s="246">
        <v>1</v>
      </c>
      <c r="K67" s="246">
        <v>1</v>
      </c>
      <c r="L67" s="246">
        <v>1</v>
      </c>
      <c r="M67" s="246">
        <v>1</v>
      </c>
      <c r="N67" s="246">
        <v>1</v>
      </c>
      <c r="O67" s="246">
        <v>1</v>
      </c>
      <c r="P67" s="246">
        <v>1</v>
      </c>
      <c r="Q67" s="246">
        <v>1</v>
      </c>
      <c r="R67" s="246">
        <v>-1</v>
      </c>
      <c r="S67" s="246">
        <v>-1</v>
      </c>
      <c r="T67" s="246">
        <v>-1</v>
      </c>
      <c r="U67" s="246">
        <v>-1</v>
      </c>
      <c r="V67" s="246">
        <v>-1</v>
      </c>
      <c r="W67" s="246">
        <v>-1</v>
      </c>
      <c r="X67" s="246">
        <v>-1</v>
      </c>
      <c r="Y67" s="246">
        <v>-1</v>
      </c>
    </row>
    <row r="68" spans="5:27" x14ac:dyDescent="0.25">
      <c r="F68" t="s">
        <v>198</v>
      </c>
      <c r="G68" t="s">
        <v>190</v>
      </c>
      <c r="J68" s="246">
        <v>1</v>
      </c>
      <c r="K68" s="246">
        <v>1</v>
      </c>
      <c r="L68" s="246">
        <v>1</v>
      </c>
      <c r="M68" s="246">
        <v>1</v>
      </c>
      <c r="N68" s="246">
        <v>1</v>
      </c>
      <c r="O68" s="246">
        <v>1</v>
      </c>
      <c r="P68" s="246">
        <v>0</v>
      </c>
      <c r="Q68" s="246">
        <v>1</v>
      </c>
      <c r="R68" s="246">
        <v>-1</v>
      </c>
      <c r="S68" s="246">
        <v>-1</v>
      </c>
      <c r="T68" s="246">
        <v>-1</v>
      </c>
      <c r="U68" s="246">
        <v>-1</v>
      </c>
      <c r="V68" s="246">
        <v>-1</v>
      </c>
      <c r="W68" s="246">
        <v>-1</v>
      </c>
      <c r="X68" s="246">
        <v>0</v>
      </c>
      <c r="Y68" s="246">
        <v>0</v>
      </c>
    </row>
    <row r="69" spans="5:27" x14ac:dyDescent="0.25">
      <c r="F69" s="37" t="s">
        <v>199</v>
      </c>
      <c r="G69" s="37" t="s">
        <v>190</v>
      </c>
      <c r="H69" s="37"/>
      <c r="I69" s="37"/>
      <c r="J69" s="251">
        <v>1</v>
      </c>
      <c r="K69" s="251">
        <v>1</v>
      </c>
      <c r="L69" s="251">
        <v>1</v>
      </c>
      <c r="M69" s="251">
        <v>1</v>
      </c>
      <c r="N69" s="251">
        <v>1</v>
      </c>
      <c r="O69" s="251">
        <v>0</v>
      </c>
      <c r="P69" s="251">
        <v>0</v>
      </c>
      <c r="Q69" s="251">
        <v>1</v>
      </c>
      <c r="R69" s="251">
        <v>-1</v>
      </c>
      <c r="S69" s="251">
        <v>0</v>
      </c>
      <c r="T69" s="251">
        <v>-1</v>
      </c>
      <c r="U69" s="251">
        <v>-1</v>
      </c>
      <c r="V69" s="251">
        <v>0</v>
      </c>
      <c r="W69" s="251">
        <v>0</v>
      </c>
      <c r="X69" s="251">
        <v>0</v>
      </c>
      <c r="Y69" s="251">
        <v>0</v>
      </c>
    </row>
    <row r="71" spans="5:27" x14ac:dyDescent="0.25">
      <c r="E71" s="32" t="s">
        <v>200</v>
      </c>
      <c r="I71" t="s">
        <v>154</v>
      </c>
      <c r="AA71" s="3" t="s">
        <v>201</v>
      </c>
    </row>
    <row r="72" spans="5:27" x14ac:dyDescent="0.25">
      <c r="E72" s="29" t="s">
        <v>202</v>
      </c>
    </row>
    <row r="73" spans="5:27" x14ac:dyDescent="0.25">
      <c r="E73" s="29"/>
      <c r="F73" s="23" t="s">
        <v>189</v>
      </c>
      <c r="G73" s="23" t="s">
        <v>190</v>
      </c>
      <c r="H73" s="23"/>
      <c r="I73" s="23"/>
      <c r="J73" s="250">
        <v>1</v>
      </c>
      <c r="K73" s="250">
        <v>1</v>
      </c>
      <c r="L73" s="250">
        <v>1</v>
      </c>
      <c r="M73" s="250">
        <v>1</v>
      </c>
      <c r="N73" s="250">
        <v>1</v>
      </c>
      <c r="O73" s="250">
        <v>1</v>
      </c>
      <c r="P73" s="250">
        <v>1</v>
      </c>
      <c r="Q73" s="250">
        <v>1</v>
      </c>
      <c r="R73" s="250">
        <v>-1</v>
      </c>
      <c r="S73" s="250">
        <v>-1</v>
      </c>
      <c r="T73" s="250">
        <v>-1</v>
      </c>
      <c r="U73" s="250">
        <v>-1</v>
      </c>
      <c r="V73" s="250">
        <v>-1</v>
      </c>
      <c r="W73" s="250">
        <v>-1</v>
      </c>
      <c r="X73" s="250">
        <v>-1</v>
      </c>
      <c r="Y73" s="250">
        <v>-1</v>
      </c>
    </row>
    <row r="74" spans="5:27" x14ac:dyDescent="0.25">
      <c r="E74" s="29"/>
      <c r="F74" t="s">
        <v>191</v>
      </c>
      <c r="G74" t="s">
        <v>190</v>
      </c>
      <c r="J74" s="246">
        <v>1</v>
      </c>
      <c r="K74" s="246">
        <v>1</v>
      </c>
      <c r="L74" s="246">
        <v>1</v>
      </c>
      <c r="M74" s="246">
        <v>1</v>
      </c>
      <c r="N74" s="246">
        <v>1</v>
      </c>
      <c r="O74" s="246">
        <v>1</v>
      </c>
      <c r="P74" s="246">
        <v>1</v>
      </c>
      <c r="Q74" s="246">
        <v>1</v>
      </c>
      <c r="R74" s="246">
        <v>-1</v>
      </c>
      <c r="S74" s="246">
        <v>-1</v>
      </c>
      <c r="T74" s="246">
        <v>-1</v>
      </c>
      <c r="U74" s="246">
        <v>-1</v>
      </c>
      <c r="V74" s="246">
        <v>-1</v>
      </c>
      <c r="W74" s="246">
        <v>-1</v>
      </c>
      <c r="X74" s="246">
        <v>-1</v>
      </c>
      <c r="Y74" s="246">
        <v>-1</v>
      </c>
    </row>
    <row r="75" spans="5:27" x14ac:dyDescent="0.25">
      <c r="E75" s="29"/>
      <c r="F75" t="s">
        <v>192</v>
      </c>
      <c r="G75" t="s">
        <v>190</v>
      </c>
      <c r="J75" s="246">
        <v>1</v>
      </c>
      <c r="K75" s="246">
        <v>1</v>
      </c>
      <c r="L75" s="246">
        <v>1</v>
      </c>
      <c r="M75" s="246">
        <v>1</v>
      </c>
      <c r="N75" s="246">
        <v>1</v>
      </c>
      <c r="O75" s="246">
        <v>1</v>
      </c>
      <c r="P75" s="246">
        <v>1</v>
      </c>
      <c r="Q75" s="246">
        <v>1</v>
      </c>
      <c r="R75" s="246">
        <v>-1</v>
      </c>
      <c r="S75" s="246">
        <v>-1</v>
      </c>
      <c r="T75" s="246">
        <v>-1</v>
      </c>
      <c r="U75" s="246">
        <v>-1</v>
      </c>
      <c r="V75" s="246">
        <v>-1</v>
      </c>
      <c r="W75" s="246">
        <v>-1</v>
      </c>
      <c r="X75" s="246">
        <v>-1</v>
      </c>
      <c r="Y75" s="246">
        <v>-1</v>
      </c>
    </row>
    <row r="76" spans="5:27" x14ac:dyDescent="0.25">
      <c r="E76" s="29"/>
      <c r="F76" t="s">
        <v>193</v>
      </c>
      <c r="G76" t="s">
        <v>190</v>
      </c>
      <c r="J76" s="246">
        <v>1</v>
      </c>
      <c r="K76" s="246">
        <v>1</v>
      </c>
      <c r="L76" s="246">
        <v>1</v>
      </c>
      <c r="M76" s="246">
        <v>1</v>
      </c>
      <c r="N76" s="246">
        <v>1</v>
      </c>
      <c r="O76" s="246">
        <v>1</v>
      </c>
      <c r="P76" s="246">
        <v>1</v>
      </c>
      <c r="Q76" s="246">
        <v>1</v>
      </c>
      <c r="R76" s="246">
        <v>-1</v>
      </c>
      <c r="S76" s="246">
        <v>-1</v>
      </c>
      <c r="T76" s="246">
        <v>-1</v>
      </c>
      <c r="U76" s="246">
        <v>-1</v>
      </c>
      <c r="V76" s="246">
        <v>-1</v>
      </c>
      <c r="W76" s="246">
        <v>-1</v>
      </c>
      <c r="X76" s="246">
        <v>-1</v>
      </c>
      <c r="Y76" s="246">
        <v>-1</v>
      </c>
    </row>
    <row r="77" spans="5:27" x14ac:dyDescent="0.25">
      <c r="E77" s="29"/>
      <c r="F77" t="s">
        <v>194</v>
      </c>
      <c r="G77" t="s">
        <v>190</v>
      </c>
      <c r="J77" s="246">
        <v>1</v>
      </c>
      <c r="K77" s="246">
        <v>1</v>
      </c>
      <c r="L77" s="246">
        <v>1</v>
      </c>
      <c r="M77" s="246">
        <v>1</v>
      </c>
      <c r="N77" s="246">
        <v>1</v>
      </c>
      <c r="O77" s="246">
        <v>1</v>
      </c>
      <c r="P77" s="246">
        <v>1</v>
      </c>
      <c r="Q77" s="246">
        <v>1</v>
      </c>
      <c r="R77" s="246">
        <v>-1</v>
      </c>
      <c r="S77" s="246">
        <v>-1</v>
      </c>
      <c r="T77" s="246">
        <v>-1</v>
      </c>
      <c r="U77" s="246">
        <v>-1</v>
      </c>
      <c r="V77" s="246">
        <v>-1</v>
      </c>
      <c r="W77" s="246">
        <v>-1</v>
      </c>
      <c r="X77" s="246">
        <v>-1</v>
      </c>
      <c r="Y77" s="246">
        <v>-1</v>
      </c>
    </row>
    <row r="78" spans="5:27" x14ac:dyDescent="0.25">
      <c r="E78" s="29"/>
      <c r="F78" t="s">
        <v>195</v>
      </c>
      <c r="G78" t="s">
        <v>190</v>
      </c>
      <c r="J78" s="246">
        <v>1</v>
      </c>
      <c r="K78" s="246">
        <v>1</v>
      </c>
      <c r="L78" s="246">
        <v>1</v>
      </c>
      <c r="M78" s="246">
        <v>1</v>
      </c>
      <c r="N78" s="246">
        <v>1</v>
      </c>
      <c r="O78" s="246">
        <v>1</v>
      </c>
      <c r="P78" s="246">
        <v>1</v>
      </c>
      <c r="Q78" s="246">
        <v>1</v>
      </c>
      <c r="R78" s="246">
        <v>-1</v>
      </c>
      <c r="S78" s="246">
        <v>-1</v>
      </c>
      <c r="T78" s="246">
        <v>-1</v>
      </c>
      <c r="U78" s="246">
        <v>-1</v>
      </c>
      <c r="V78" s="246">
        <v>-1</v>
      </c>
      <c r="W78" s="246">
        <v>-1</v>
      </c>
      <c r="X78" s="246">
        <v>-1</v>
      </c>
      <c r="Y78" s="246">
        <v>-1</v>
      </c>
    </row>
    <row r="79" spans="5:27" x14ac:dyDescent="0.25">
      <c r="E79" s="29"/>
      <c r="F79" t="s">
        <v>196</v>
      </c>
      <c r="G79" t="s">
        <v>190</v>
      </c>
      <c r="J79" s="246">
        <v>1</v>
      </c>
      <c r="K79" s="246">
        <v>1</v>
      </c>
      <c r="L79" s="246">
        <v>1</v>
      </c>
      <c r="M79" s="246">
        <v>1</v>
      </c>
      <c r="N79" s="246">
        <v>1</v>
      </c>
      <c r="O79" s="246">
        <v>1</v>
      </c>
      <c r="P79" s="246">
        <v>1</v>
      </c>
      <c r="Q79" s="246">
        <v>1</v>
      </c>
      <c r="R79" s="246">
        <v>-1</v>
      </c>
      <c r="S79" s="246">
        <v>-1</v>
      </c>
      <c r="T79" s="246">
        <v>-1</v>
      </c>
      <c r="U79" s="246">
        <v>-1</v>
      </c>
      <c r="V79" s="246">
        <v>-1</v>
      </c>
      <c r="W79" s="246">
        <v>-1</v>
      </c>
      <c r="X79" s="246">
        <v>-1</v>
      </c>
      <c r="Y79" s="246">
        <v>-1</v>
      </c>
    </row>
    <row r="80" spans="5:27" x14ac:dyDescent="0.25">
      <c r="E80" s="29"/>
      <c r="F80" t="s">
        <v>197</v>
      </c>
      <c r="G80" t="s">
        <v>190</v>
      </c>
      <c r="J80" s="246">
        <v>1</v>
      </c>
      <c r="K80" s="246">
        <v>1</v>
      </c>
      <c r="L80" s="246">
        <v>1</v>
      </c>
      <c r="M80" s="246">
        <v>1</v>
      </c>
      <c r="N80" s="246">
        <v>1</v>
      </c>
      <c r="O80" s="246">
        <v>1</v>
      </c>
      <c r="P80" s="246">
        <v>1</v>
      </c>
      <c r="Q80" s="246">
        <v>1</v>
      </c>
      <c r="R80" s="246">
        <v>-1</v>
      </c>
      <c r="S80" s="246">
        <v>-1</v>
      </c>
      <c r="T80" s="246">
        <v>-1</v>
      </c>
      <c r="U80" s="246">
        <v>-1</v>
      </c>
      <c r="V80" s="246">
        <v>-1</v>
      </c>
      <c r="W80" s="246">
        <v>-1</v>
      </c>
      <c r="X80" s="246">
        <v>0</v>
      </c>
      <c r="Y80" s="246">
        <v>0</v>
      </c>
    </row>
    <row r="81" spans="3:27" x14ac:dyDescent="0.25">
      <c r="E81" s="29"/>
      <c r="F81" t="s">
        <v>198</v>
      </c>
      <c r="G81" t="s">
        <v>190</v>
      </c>
      <c r="J81" s="246">
        <v>1</v>
      </c>
      <c r="K81" s="246">
        <v>1</v>
      </c>
      <c r="L81" s="246">
        <v>1</v>
      </c>
      <c r="M81" s="246">
        <v>1</v>
      </c>
      <c r="N81" s="246">
        <v>1</v>
      </c>
      <c r="O81" s="246">
        <v>1</v>
      </c>
      <c r="P81" s="246">
        <v>0</v>
      </c>
      <c r="Q81" s="246">
        <v>1</v>
      </c>
      <c r="R81" s="246">
        <v>-1</v>
      </c>
      <c r="S81" s="246">
        <v>0</v>
      </c>
      <c r="T81" s="246">
        <v>-1</v>
      </c>
      <c r="U81" s="246">
        <v>-1</v>
      </c>
      <c r="V81" s="246">
        <v>0</v>
      </c>
      <c r="W81" s="246">
        <v>0</v>
      </c>
      <c r="X81" s="246">
        <v>0</v>
      </c>
      <c r="Y81" s="246">
        <v>0</v>
      </c>
    </row>
    <row r="82" spans="3:27" x14ac:dyDescent="0.25">
      <c r="E82" s="29"/>
      <c r="F82" s="37" t="s">
        <v>199</v>
      </c>
      <c r="G82" s="37" t="s">
        <v>190</v>
      </c>
      <c r="H82" s="37"/>
      <c r="I82" s="37"/>
      <c r="J82" s="251">
        <v>1</v>
      </c>
      <c r="K82" s="251">
        <v>1</v>
      </c>
      <c r="L82" s="251">
        <v>1</v>
      </c>
      <c r="M82" s="251">
        <v>1</v>
      </c>
      <c r="N82" s="251">
        <v>1</v>
      </c>
      <c r="O82" s="251">
        <v>0</v>
      </c>
      <c r="P82" s="251">
        <v>0</v>
      </c>
      <c r="Q82" s="251">
        <v>1</v>
      </c>
      <c r="R82" s="251">
        <v>0</v>
      </c>
      <c r="S82" s="251">
        <v>0</v>
      </c>
      <c r="T82" s="251">
        <v>0</v>
      </c>
      <c r="U82" s="251">
        <v>0</v>
      </c>
      <c r="V82" s="251">
        <v>0</v>
      </c>
      <c r="W82" s="251">
        <v>0</v>
      </c>
      <c r="X82" s="251">
        <v>0</v>
      </c>
      <c r="Y82" s="251">
        <v>0</v>
      </c>
    </row>
    <row r="84" spans="3:27" x14ac:dyDescent="0.25">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row>
    <row r="86" spans="3:27" x14ac:dyDescent="0.25">
      <c r="E86" s="32" t="s">
        <v>120</v>
      </c>
      <c r="F86" s="32"/>
      <c r="I86" t="s">
        <v>154</v>
      </c>
      <c r="AA86" t="s">
        <v>203</v>
      </c>
    </row>
    <row r="87" spans="3:27" x14ac:dyDescent="0.25">
      <c r="E87" s="29" t="s">
        <v>1023</v>
      </c>
      <c r="F87" s="29"/>
    </row>
    <row r="88" spans="3:27" x14ac:dyDescent="0.25">
      <c r="E88" s="29"/>
      <c r="F88" s="23" t="s">
        <v>189</v>
      </c>
      <c r="G88" s="23" t="s">
        <v>167</v>
      </c>
      <c r="H88" s="23"/>
      <c r="I88" s="23"/>
      <c r="J88" s="65"/>
      <c r="K88" s="65"/>
      <c r="L88" s="65"/>
      <c r="M88" s="65"/>
      <c r="N88" s="65"/>
      <c r="O88" s="65"/>
      <c r="P88" s="65"/>
      <c r="Q88" s="65"/>
      <c r="R88" s="65"/>
      <c r="S88" s="65"/>
      <c r="T88" s="65"/>
      <c r="U88" s="65"/>
      <c r="V88" s="65"/>
      <c r="W88" s="65"/>
      <c r="X88" s="65"/>
      <c r="Y88" s="65"/>
    </row>
    <row r="89" spans="3:27" x14ac:dyDescent="0.25">
      <c r="E89" s="29"/>
      <c r="F89" t="s">
        <v>191</v>
      </c>
      <c r="G89" t="s">
        <v>167</v>
      </c>
      <c r="J89" s="66"/>
      <c r="K89" s="66"/>
      <c r="L89" s="66"/>
      <c r="M89" s="66"/>
      <c r="N89" s="66"/>
      <c r="O89" s="66"/>
      <c r="P89" s="66"/>
      <c r="Q89" s="66"/>
      <c r="R89" s="66"/>
      <c r="S89" s="66"/>
      <c r="T89" s="66"/>
      <c r="U89" s="66"/>
      <c r="V89" s="66"/>
      <c r="W89" s="66"/>
      <c r="X89" s="66"/>
      <c r="Y89" s="66"/>
    </row>
    <row r="90" spans="3:27" x14ac:dyDescent="0.25">
      <c r="E90" s="29"/>
      <c r="F90" t="s">
        <v>192</v>
      </c>
      <c r="G90" t="s">
        <v>167</v>
      </c>
      <c r="J90" s="70"/>
      <c r="K90" s="70"/>
      <c r="L90" s="70"/>
      <c r="M90" s="70"/>
      <c r="N90" s="70"/>
      <c r="O90" s="70"/>
      <c r="P90" s="70"/>
      <c r="Q90" s="70"/>
      <c r="R90" s="66"/>
      <c r="S90" s="66"/>
      <c r="T90" s="66"/>
      <c r="U90" s="66"/>
      <c r="V90" s="66"/>
      <c r="W90" s="66"/>
      <c r="X90" s="66"/>
      <c r="Y90" s="66"/>
    </row>
    <row r="91" spans="3:27" x14ac:dyDescent="0.25">
      <c r="E91" s="29"/>
      <c r="F91" t="s">
        <v>193</v>
      </c>
      <c r="G91" t="s">
        <v>167</v>
      </c>
      <c r="J91" s="70"/>
      <c r="K91" s="70"/>
      <c r="L91" s="70"/>
      <c r="M91" s="70"/>
      <c r="N91" s="70"/>
      <c r="O91" s="70"/>
      <c r="P91" s="70"/>
      <c r="Q91" s="70"/>
      <c r="R91" s="66"/>
      <c r="S91" s="66"/>
      <c r="T91" s="66"/>
      <c r="U91" s="66"/>
      <c r="V91" s="66"/>
      <c r="W91" s="66"/>
      <c r="X91" s="66"/>
      <c r="Y91" s="66"/>
    </row>
    <row r="92" spans="3:27" x14ac:dyDescent="0.25">
      <c r="E92" s="29"/>
      <c r="F92" t="s">
        <v>194</v>
      </c>
      <c r="G92" t="s">
        <v>167</v>
      </c>
      <c r="J92" s="70"/>
      <c r="K92" s="70"/>
      <c r="L92" s="70"/>
      <c r="M92" s="70"/>
      <c r="N92" s="70"/>
      <c r="O92" s="70"/>
      <c r="P92" s="252">
        <v>0.2</v>
      </c>
      <c r="Q92" s="70"/>
      <c r="R92" s="66"/>
      <c r="S92" s="66"/>
      <c r="T92" s="66"/>
      <c r="U92" s="66"/>
      <c r="V92" s="66"/>
      <c r="W92" s="66"/>
      <c r="X92" s="66"/>
      <c r="Y92" s="66"/>
    </row>
    <row r="93" spans="3:27" x14ac:dyDescent="0.25">
      <c r="E93" s="29"/>
      <c r="F93" t="s">
        <v>195</v>
      </c>
      <c r="G93" t="s">
        <v>167</v>
      </c>
      <c r="J93" s="70"/>
      <c r="K93" s="70"/>
      <c r="L93" s="70"/>
      <c r="M93" s="70"/>
      <c r="N93" s="70"/>
      <c r="O93" s="70"/>
      <c r="P93" s="252">
        <v>1</v>
      </c>
      <c r="Q93" s="70"/>
      <c r="R93" s="66"/>
      <c r="S93" s="66"/>
      <c r="T93" s="66"/>
      <c r="U93" s="66"/>
      <c r="V93" s="66"/>
      <c r="W93" s="66"/>
      <c r="X93" s="66"/>
      <c r="Y93" s="66"/>
    </row>
    <row r="94" spans="3:27" x14ac:dyDescent="0.25">
      <c r="E94" s="29"/>
      <c r="F94" t="s">
        <v>196</v>
      </c>
      <c r="G94" t="s">
        <v>167</v>
      </c>
      <c r="J94" s="70"/>
      <c r="K94" s="70"/>
      <c r="L94" s="70"/>
      <c r="M94" s="70"/>
      <c r="N94" s="70"/>
      <c r="O94" s="70"/>
      <c r="P94" s="70"/>
      <c r="Q94" s="70"/>
      <c r="R94" s="66"/>
      <c r="S94" s="66"/>
      <c r="T94" s="66"/>
      <c r="U94" s="66"/>
      <c r="V94" s="66"/>
      <c r="W94" s="66"/>
      <c r="X94" s="66"/>
      <c r="Y94" s="66"/>
    </row>
    <row r="95" spans="3:27" x14ac:dyDescent="0.25">
      <c r="E95" s="29"/>
      <c r="F95" t="s">
        <v>197</v>
      </c>
      <c r="G95" t="s">
        <v>167</v>
      </c>
      <c r="J95" s="70"/>
      <c r="K95" s="70"/>
      <c r="L95" s="70"/>
      <c r="M95" s="70"/>
      <c r="N95" s="252">
        <v>0.2</v>
      </c>
      <c r="O95" s="252">
        <v>1</v>
      </c>
      <c r="P95" s="252">
        <v>1</v>
      </c>
      <c r="Q95" s="70"/>
      <c r="R95" s="66"/>
      <c r="S95" s="66"/>
      <c r="T95" s="66"/>
      <c r="U95" s="66"/>
      <c r="V95" s="66"/>
      <c r="W95" s="66"/>
      <c r="X95" s="66"/>
      <c r="Y95" s="66"/>
    </row>
    <row r="96" spans="3:27" x14ac:dyDescent="0.25">
      <c r="E96" s="29"/>
      <c r="F96" t="s">
        <v>198</v>
      </c>
      <c r="G96" t="s">
        <v>167</v>
      </c>
      <c r="J96" s="70"/>
      <c r="K96" s="70"/>
      <c r="L96" s="70"/>
      <c r="M96" s="70"/>
      <c r="N96" s="252">
        <v>1</v>
      </c>
      <c r="O96" s="252">
        <v>1</v>
      </c>
      <c r="P96" s="70"/>
      <c r="Q96" s="70"/>
      <c r="R96" s="66"/>
      <c r="S96" s="66"/>
      <c r="T96" s="66"/>
      <c r="U96" s="66"/>
      <c r="V96" s="66"/>
      <c r="W96" s="66"/>
      <c r="X96" s="66"/>
      <c r="Y96" s="66"/>
    </row>
    <row r="97" spans="3:27" x14ac:dyDescent="0.25">
      <c r="E97" s="29"/>
      <c r="F97" s="37" t="s">
        <v>199</v>
      </c>
      <c r="G97" s="37" t="s">
        <v>167</v>
      </c>
      <c r="H97" s="37"/>
      <c r="I97" s="37"/>
      <c r="J97" s="253">
        <v>1</v>
      </c>
      <c r="K97" s="253">
        <v>1</v>
      </c>
      <c r="L97" s="253">
        <v>1</v>
      </c>
      <c r="M97" s="253">
        <v>1</v>
      </c>
      <c r="N97" s="253">
        <v>1</v>
      </c>
      <c r="O97" s="71"/>
      <c r="P97" s="71"/>
      <c r="Q97" s="253">
        <v>0</v>
      </c>
      <c r="R97" s="68"/>
      <c r="S97" s="68"/>
      <c r="T97" s="68"/>
      <c r="U97" s="68"/>
      <c r="V97" s="68"/>
      <c r="W97" s="68"/>
      <c r="X97" s="68"/>
      <c r="Y97" s="68"/>
    </row>
    <row r="99" spans="3:27" x14ac:dyDescent="0.25">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row>
    <row r="101" spans="3:27" x14ac:dyDescent="0.25">
      <c r="D101" s="32" t="s">
        <v>204</v>
      </c>
      <c r="E101" s="32"/>
    </row>
    <row r="102" spans="3:27" x14ac:dyDescent="0.25">
      <c r="D102" s="29" t="s">
        <v>205</v>
      </c>
      <c r="E102" s="29"/>
    </row>
    <row r="103" spans="3:27" x14ac:dyDescent="0.25">
      <c r="D103" s="29" t="s">
        <v>206</v>
      </c>
      <c r="E103" s="29"/>
    </row>
    <row r="104" spans="3:27" x14ac:dyDescent="0.25">
      <c r="D104" s="29"/>
      <c r="E104" s="32" t="s">
        <v>207</v>
      </c>
    </row>
    <row r="105" spans="3:27" x14ac:dyDescent="0.25">
      <c r="D105" s="29"/>
      <c r="F105" s="28" t="s">
        <v>208</v>
      </c>
      <c r="G105" t="s">
        <v>209</v>
      </c>
      <c r="I105" t="s">
        <v>154</v>
      </c>
      <c r="J105" s="254" t="b">
        <v>0</v>
      </c>
      <c r="K105" s="254" t="b">
        <v>0</v>
      </c>
      <c r="L105" s="254" t="b">
        <v>0</v>
      </c>
      <c r="M105" s="254" t="b">
        <v>0</v>
      </c>
      <c r="N105" s="254" t="b">
        <v>0</v>
      </c>
      <c r="O105" s="254" t="b">
        <v>0</v>
      </c>
      <c r="P105" s="254" t="b">
        <v>0</v>
      </c>
      <c r="Q105" s="254" t="b">
        <v>0</v>
      </c>
      <c r="R105" s="254" t="b">
        <v>1</v>
      </c>
      <c r="S105" s="254" t="b">
        <v>1</v>
      </c>
      <c r="T105" s="254" t="b">
        <v>1</v>
      </c>
      <c r="U105" s="254" t="b">
        <v>1</v>
      </c>
      <c r="V105" s="254" t="b">
        <v>1</v>
      </c>
      <c r="W105" s="254" t="b">
        <v>1</v>
      </c>
      <c r="X105" s="254" t="b">
        <v>1</v>
      </c>
      <c r="Y105" s="254" t="b">
        <v>1</v>
      </c>
      <c r="AA105" t="s">
        <v>210</v>
      </c>
    </row>
    <row r="106" spans="3:27" x14ac:dyDescent="0.25">
      <c r="D106" s="29"/>
      <c r="E106" s="28"/>
      <c r="F106" s="28" t="s">
        <v>211</v>
      </c>
      <c r="G106" t="s">
        <v>167</v>
      </c>
      <c r="J106" s="70"/>
      <c r="K106" s="70"/>
      <c r="L106" s="70"/>
      <c r="M106" s="70"/>
      <c r="N106" s="70"/>
      <c r="O106" s="70"/>
      <c r="P106" s="70"/>
      <c r="Q106" s="70"/>
      <c r="R106" s="255">
        <v>0</v>
      </c>
      <c r="S106" s="255">
        <v>0</v>
      </c>
      <c r="T106" s="255">
        <v>0</v>
      </c>
      <c r="U106" s="255">
        <v>0</v>
      </c>
      <c r="V106" s="255">
        <v>0</v>
      </c>
      <c r="W106" s="255">
        <v>0</v>
      </c>
      <c r="X106" s="255">
        <v>0</v>
      </c>
      <c r="Y106" s="255">
        <v>0</v>
      </c>
    </row>
    <row r="107" spans="3:27" x14ac:dyDescent="0.25">
      <c r="D107" s="29"/>
      <c r="E107" s="28"/>
      <c r="F107" s="28"/>
      <c r="J107" s="14"/>
      <c r="K107" s="14"/>
      <c r="L107" s="14"/>
      <c r="M107" s="14"/>
      <c r="N107" s="14"/>
      <c r="O107" s="14"/>
      <c r="P107" s="14"/>
      <c r="Q107" s="14"/>
      <c r="R107" s="14"/>
      <c r="S107" s="14"/>
      <c r="T107" s="14"/>
      <c r="U107" s="14"/>
      <c r="V107" s="14"/>
      <c r="W107" s="14"/>
      <c r="X107" s="14"/>
      <c r="Y107" s="14"/>
    </row>
    <row r="108" spans="3:27" x14ac:dyDescent="0.25">
      <c r="D108" s="29"/>
      <c r="E108" s="32" t="s">
        <v>212</v>
      </c>
      <c r="F108" s="28"/>
      <c r="J108" s="14"/>
      <c r="K108" s="14"/>
      <c r="L108" s="14"/>
      <c r="M108" s="14"/>
      <c r="N108" s="14"/>
      <c r="O108" s="14"/>
      <c r="P108" s="14"/>
      <c r="Q108" s="14"/>
      <c r="R108" s="14"/>
      <c r="S108" s="14"/>
      <c r="T108" s="14"/>
      <c r="U108" s="14"/>
      <c r="V108" s="14"/>
      <c r="W108" s="14"/>
      <c r="X108" s="14"/>
      <c r="Y108" s="14"/>
    </row>
    <row r="109" spans="3:27" x14ac:dyDescent="0.25">
      <c r="D109" s="29"/>
      <c r="F109" s="28" t="s">
        <v>208</v>
      </c>
      <c r="G109" t="s">
        <v>209</v>
      </c>
      <c r="J109" s="254" t="b">
        <v>0</v>
      </c>
      <c r="K109" s="254" t="b">
        <v>0</v>
      </c>
      <c r="L109" s="254" t="b">
        <v>0</v>
      </c>
      <c r="M109" s="254" t="b">
        <v>0</v>
      </c>
      <c r="N109" s="254" t="b">
        <v>0</v>
      </c>
      <c r="O109" s="254" t="b">
        <v>0</v>
      </c>
      <c r="P109" s="254" t="b">
        <v>0</v>
      </c>
      <c r="Q109" s="254" t="b">
        <v>0</v>
      </c>
      <c r="R109" s="254" t="b">
        <v>1</v>
      </c>
      <c r="S109" s="254" t="b">
        <v>1</v>
      </c>
      <c r="T109" s="254" t="b">
        <v>1</v>
      </c>
      <c r="U109" s="254" t="b">
        <v>1</v>
      </c>
      <c r="V109" s="254" t="b">
        <v>1</v>
      </c>
      <c r="W109" s="254" t="b">
        <v>1</v>
      </c>
      <c r="X109" s="254" t="b">
        <v>1</v>
      </c>
      <c r="Y109" s="254" t="b">
        <v>1</v>
      </c>
    </row>
    <row r="110" spans="3:27" x14ac:dyDescent="0.25">
      <c r="D110" s="29"/>
      <c r="E110" s="28"/>
      <c r="F110" s="28" t="s">
        <v>211</v>
      </c>
      <c r="G110" t="s">
        <v>167</v>
      </c>
      <c r="J110" s="70"/>
      <c r="K110" s="70"/>
      <c r="L110" s="70"/>
      <c r="M110" s="70"/>
      <c r="N110" s="70"/>
      <c r="O110" s="70"/>
      <c r="P110" s="70"/>
      <c r="Q110" s="70"/>
      <c r="R110" s="255">
        <v>1</v>
      </c>
      <c r="S110" s="255">
        <v>1</v>
      </c>
      <c r="T110" s="255">
        <v>1</v>
      </c>
      <c r="U110" s="255">
        <v>1</v>
      </c>
      <c r="V110" s="255">
        <v>1</v>
      </c>
      <c r="W110" s="255">
        <v>1</v>
      </c>
      <c r="X110" s="255">
        <v>1</v>
      </c>
      <c r="Y110" s="255">
        <v>1</v>
      </c>
    </row>
    <row r="111" spans="3:27" x14ac:dyDescent="0.25">
      <c r="D111" s="29"/>
      <c r="E111" s="28"/>
      <c r="F111" s="28"/>
      <c r="J111" s="14"/>
      <c r="K111" s="14"/>
      <c r="L111" s="14"/>
      <c r="M111" s="14"/>
      <c r="N111" s="14"/>
      <c r="O111" s="14"/>
      <c r="P111" s="14"/>
      <c r="Q111" s="14"/>
      <c r="R111" s="14"/>
      <c r="S111" s="14"/>
      <c r="T111" s="14"/>
      <c r="U111" s="14"/>
      <c r="V111" s="14"/>
      <c r="W111" s="14"/>
      <c r="X111" s="14"/>
      <c r="Y111" s="14"/>
    </row>
    <row r="112" spans="3:27" x14ac:dyDescent="0.25">
      <c r="D112" s="29"/>
      <c r="E112" s="32" t="s">
        <v>213</v>
      </c>
      <c r="F112" s="28"/>
      <c r="J112" s="14"/>
      <c r="K112" s="14"/>
      <c r="L112" s="14"/>
      <c r="M112" s="14"/>
      <c r="N112" s="14"/>
      <c r="O112" s="14"/>
      <c r="P112" s="14"/>
      <c r="Q112" s="14"/>
      <c r="R112" s="14"/>
      <c r="S112" s="14"/>
      <c r="T112" s="14"/>
      <c r="U112" s="14"/>
      <c r="V112" s="14"/>
      <c r="W112" s="14"/>
      <c r="X112" s="14"/>
      <c r="Y112" s="14"/>
    </row>
    <row r="113" spans="4:25" x14ac:dyDescent="0.25">
      <c r="D113" s="29"/>
      <c r="F113" s="28" t="s">
        <v>208</v>
      </c>
      <c r="G113" t="s">
        <v>209</v>
      </c>
      <c r="J113" s="254" t="b">
        <v>0</v>
      </c>
      <c r="K113" s="254" t="b">
        <v>0</v>
      </c>
      <c r="L113" s="254" t="b">
        <v>0</v>
      </c>
      <c r="M113" s="254" t="b">
        <v>0</v>
      </c>
      <c r="N113" s="254" t="b">
        <v>0</v>
      </c>
      <c r="O113" s="254" t="b">
        <v>0</v>
      </c>
      <c r="P113" s="254" t="b">
        <v>0</v>
      </c>
      <c r="Q113" s="254" t="b">
        <v>0</v>
      </c>
      <c r="R113" s="254" t="b">
        <v>1</v>
      </c>
      <c r="S113" s="254" t="b">
        <v>1</v>
      </c>
      <c r="T113" s="254" t="b">
        <v>1</v>
      </c>
      <c r="U113" s="254" t="b">
        <v>1</v>
      </c>
      <c r="V113" s="254" t="b">
        <v>1</v>
      </c>
      <c r="W113" s="254" t="b">
        <v>1</v>
      </c>
      <c r="X113" s="254" t="b">
        <v>1</v>
      </c>
      <c r="Y113" s="254" t="b">
        <v>1</v>
      </c>
    </row>
    <row r="114" spans="4:25" x14ac:dyDescent="0.25">
      <c r="D114" s="29"/>
      <c r="E114" s="28"/>
      <c r="F114" s="28" t="s">
        <v>211</v>
      </c>
      <c r="G114" t="s">
        <v>167</v>
      </c>
      <c r="J114" s="70"/>
      <c r="K114" s="70"/>
      <c r="L114" s="70"/>
      <c r="M114" s="70"/>
      <c r="N114" s="70"/>
      <c r="O114" s="70"/>
      <c r="P114" s="70"/>
      <c r="Q114" s="70"/>
      <c r="R114" s="255">
        <v>0</v>
      </c>
      <c r="S114" s="255">
        <v>0</v>
      </c>
      <c r="T114" s="255">
        <v>0</v>
      </c>
      <c r="U114" s="255">
        <v>0</v>
      </c>
      <c r="V114" s="255">
        <v>0</v>
      </c>
      <c r="W114" s="255">
        <v>0</v>
      </c>
      <c r="X114" s="255">
        <v>0</v>
      </c>
      <c r="Y114" s="255">
        <v>0</v>
      </c>
    </row>
    <row r="115" spans="4:25" x14ac:dyDescent="0.25">
      <c r="D115" s="29"/>
      <c r="E115" s="28"/>
      <c r="F115" s="28"/>
      <c r="J115" s="14"/>
      <c r="K115" s="14"/>
      <c r="L115" s="14"/>
      <c r="M115" s="14"/>
      <c r="N115" s="14"/>
      <c r="O115" s="14"/>
      <c r="P115" s="14"/>
      <c r="Q115" s="14"/>
      <c r="R115" s="14"/>
      <c r="S115" s="14"/>
      <c r="T115" s="14"/>
      <c r="U115" s="14"/>
      <c r="V115" s="14"/>
      <c r="W115" s="14"/>
      <c r="X115" s="14"/>
      <c r="Y115" s="14"/>
    </row>
    <row r="116" spans="4:25" x14ac:dyDescent="0.25">
      <c r="D116" s="29"/>
      <c r="E116" s="32" t="s">
        <v>214</v>
      </c>
      <c r="F116" s="28"/>
      <c r="J116" s="14"/>
      <c r="K116" s="14"/>
      <c r="L116" s="14"/>
      <c r="M116" s="14"/>
      <c r="N116" s="14"/>
      <c r="O116" s="14"/>
      <c r="P116" s="14"/>
      <c r="Q116" s="14"/>
      <c r="R116" s="14"/>
      <c r="S116" s="14"/>
      <c r="T116" s="14"/>
      <c r="U116" s="14"/>
      <c r="V116" s="14"/>
      <c r="W116" s="14"/>
      <c r="X116" s="14"/>
      <c r="Y116" s="14"/>
    </row>
    <row r="117" spans="4:25" x14ac:dyDescent="0.25">
      <c r="D117" s="29"/>
      <c r="F117" s="28" t="s">
        <v>208</v>
      </c>
      <c r="G117" t="s">
        <v>209</v>
      </c>
      <c r="J117" s="254" t="b">
        <v>0</v>
      </c>
      <c r="K117" s="254" t="b">
        <v>0</v>
      </c>
      <c r="L117" s="254" t="b">
        <v>0</v>
      </c>
      <c r="M117" s="254" t="b">
        <v>0</v>
      </c>
      <c r="N117" s="254" t="b">
        <v>0</v>
      </c>
      <c r="O117" s="254" t="b">
        <v>0</v>
      </c>
      <c r="P117" s="254" t="b">
        <v>0</v>
      </c>
      <c r="Q117" s="254" t="b">
        <v>0</v>
      </c>
      <c r="R117" s="254" t="b">
        <v>1</v>
      </c>
      <c r="S117" s="254" t="b">
        <v>1</v>
      </c>
      <c r="T117" s="254" t="b">
        <v>1</v>
      </c>
      <c r="U117" s="254" t="b">
        <v>1</v>
      </c>
      <c r="V117" s="254" t="b">
        <v>1</v>
      </c>
      <c r="W117" s="254" t="b">
        <v>1</v>
      </c>
      <c r="X117" s="254" t="b">
        <v>1</v>
      </c>
      <c r="Y117" s="254" t="b">
        <v>1</v>
      </c>
    </row>
    <row r="118" spans="4:25" x14ac:dyDescent="0.25">
      <c r="D118" s="29"/>
      <c r="E118" s="28"/>
      <c r="F118" s="28" t="s">
        <v>211</v>
      </c>
      <c r="G118" t="s">
        <v>167</v>
      </c>
      <c r="J118" s="70"/>
      <c r="K118" s="70"/>
      <c r="L118" s="70"/>
      <c r="M118" s="70"/>
      <c r="N118" s="70"/>
      <c r="O118" s="70"/>
      <c r="P118" s="70"/>
      <c r="Q118" s="70"/>
      <c r="R118" s="255">
        <v>0</v>
      </c>
      <c r="S118" s="255">
        <v>0</v>
      </c>
      <c r="T118" s="255">
        <v>0</v>
      </c>
      <c r="U118" s="255">
        <v>0</v>
      </c>
      <c r="V118" s="255">
        <v>0</v>
      </c>
      <c r="W118" s="255">
        <v>0</v>
      </c>
      <c r="X118" s="255">
        <v>0</v>
      </c>
      <c r="Y118" s="255">
        <v>0</v>
      </c>
    </row>
    <row r="119" spans="4:25" x14ac:dyDescent="0.25">
      <c r="D119" s="29"/>
      <c r="E119" s="28"/>
      <c r="F119" s="28"/>
      <c r="J119" s="14"/>
      <c r="K119" s="14"/>
      <c r="L119" s="14"/>
      <c r="M119" s="14"/>
      <c r="N119" s="14"/>
      <c r="O119" s="14"/>
      <c r="P119" s="14"/>
      <c r="Q119" s="14"/>
      <c r="R119" s="14"/>
      <c r="S119" s="14"/>
      <c r="T119" s="14"/>
      <c r="U119" s="14"/>
      <c r="V119" s="14"/>
      <c r="W119" s="14"/>
      <c r="X119" s="14"/>
      <c r="Y119" s="14"/>
    </row>
    <row r="120" spans="4:25" x14ac:dyDescent="0.25">
      <c r="D120" s="29"/>
      <c r="E120" s="32" t="s">
        <v>215</v>
      </c>
      <c r="F120" s="28"/>
      <c r="J120" s="14"/>
      <c r="K120" s="14"/>
      <c r="L120" s="14"/>
      <c r="M120" s="14"/>
      <c r="N120" s="14"/>
      <c r="O120" s="14"/>
      <c r="P120" s="14"/>
      <c r="Q120" s="14"/>
      <c r="R120" s="14"/>
      <c r="S120" s="14"/>
      <c r="T120" s="14"/>
      <c r="U120" s="14"/>
      <c r="V120" s="14"/>
      <c r="W120" s="14"/>
      <c r="X120" s="14"/>
      <c r="Y120" s="14"/>
    </row>
    <row r="121" spans="4:25" x14ac:dyDescent="0.25">
      <c r="D121" s="29"/>
      <c r="F121" s="28" t="s">
        <v>208</v>
      </c>
      <c r="G121" t="s">
        <v>209</v>
      </c>
      <c r="J121" s="254" t="b">
        <v>0</v>
      </c>
      <c r="K121" s="254" t="b">
        <v>0</v>
      </c>
      <c r="L121" s="254" t="b">
        <v>0</v>
      </c>
      <c r="M121" s="254" t="b">
        <v>0</v>
      </c>
      <c r="N121" s="254" t="b">
        <v>0</v>
      </c>
      <c r="O121" s="254" t="b">
        <v>0</v>
      </c>
      <c r="P121" s="254" t="b">
        <v>0</v>
      </c>
      <c r="Q121" s="254" t="b">
        <v>0</v>
      </c>
      <c r="R121" s="254" t="b">
        <v>1</v>
      </c>
      <c r="S121" s="254" t="b">
        <v>1</v>
      </c>
      <c r="T121" s="254" t="b">
        <v>1</v>
      </c>
      <c r="U121" s="254" t="b">
        <v>1</v>
      </c>
      <c r="V121" s="254" t="b">
        <v>1</v>
      </c>
      <c r="W121" s="254" t="b">
        <v>1</v>
      </c>
      <c r="X121" s="254" t="b">
        <v>1</v>
      </c>
      <c r="Y121" s="254" t="b">
        <v>1</v>
      </c>
    </row>
    <row r="122" spans="4:25" x14ac:dyDescent="0.25">
      <c r="D122" s="29"/>
      <c r="E122" s="28"/>
      <c r="F122" s="28" t="s">
        <v>211</v>
      </c>
      <c r="G122" t="s">
        <v>167</v>
      </c>
      <c r="J122" s="70"/>
      <c r="K122" s="70"/>
      <c r="L122" s="70"/>
      <c r="M122" s="70"/>
      <c r="N122" s="70"/>
      <c r="O122" s="70"/>
      <c r="P122" s="70"/>
      <c r="Q122" s="70"/>
      <c r="R122" s="255">
        <v>0</v>
      </c>
      <c r="S122" s="255">
        <v>0</v>
      </c>
      <c r="T122" s="255">
        <v>0</v>
      </c>
      <c r="U122" s="255">
        <v>0</v>
      </c>
      <c r="V122" s="255">
        <v>0</v>
      </c>
      <c r="W122" s="255">
        <v>0</v>
      </c>
      <c r="X122" s="255">
        <v>0</v>
      </c>
      <c r="Y122" s="255">
        <v>0</v>
      </c>
    </row>
    <row r="123" spans="4:25" x14ac:dyDescent="0.25">
      <c r="D123" s="29"/>
      <c r="E123" s="29"/>
      <c r="J123" s="14"/>
      <c r="K123" s="14"/>
      <c r="L123" s="14"/>
      <c r="M123" s="14"/>
      <c r="N123" s="14"/>
      <c r="O123" s="14"/>
      <c r="P123" s="14"/>
      <c r="Q123" s="14"/>
      <c r="R123" s="14"/>
      <c r="S123" s="14"/>
      <c r="T123" s="14"/>
      <c r="U123" s="14"/>
      <c r="V123" s="14"/>
      <c r="W123" s="14"/>
      <c r="X123" s="14"/>
      <c r="Y123" s="14"/>
    </row>
    <row r="124" spans="4:25" x14ac:dyDescent="0.25">
      <c r="E124" s="32" t="s">
        <v>216</v>
      </c>
      <c r="J124" s="14"/>
      <c r="K124" s="14"/>
      <c r="L124" s="14"/>
      <c r="M124" s="14"/>
      <c r="N124" s="14"/>
      <c r="O124" s="14"/>
      <c r="P124" s="14"/>
      <c r="Q124" s="14"/>
      <c r="R124" s="14"/>
      <c r="S124" s="14"/>
      <c r="T124" s="14"/>
      <c r="U124" s="14"/>
      <c r="V124" s="14"/>
      <c r="W124" s="14"/>
      <c r="X124" s="14"/>
      <c r="Y124" s="14"/>
    </row>
    <row r="125" spans="4:25" x14ac:dyDescent="0.25">
      <c r="E125" s="29" t="s">
        <v>217</v>
      </c>
      <c r="J125" s="14"/>
      <c r="K125" s="14"/>
      <c r="L125" s="14"/>
      <c r="M125" s="14"/>
      <c r="N125" s="14"/>
      <c r="O125" s="14"/>
      <c r="P125" s="14"/>
      <c r="Q125" s="14"/>
      <c r="R125" s="14"/>
      <c r="S125" s="14"/>
      <c r="T125" s="14"/>
      <c r="U125" s="14"/>
      <c r="V125" s="14"/>
      <c r="W125" s="14"/>
      <c r="X125" s="14"/>
      <c r="Y125" s="14"/>
    </row>
    <row r="126" spans="4:25" x14ac:dyDescent="0.25">
      <c r="E126" s="29" t="s">
        <v>218</v>
      </c>
      <c r="J126" s="14"/>
      <c r="K126" s="14"/>
      <c r="L126" s="14"/>
      <c r="M126" s="14"/>
      <c r="N126" s="14"/>
      <c r="O126" s="14"/>
      <c r="P126" s="14"/>
      <c r="Q126" s="14"/>
      <c r="R126" s="14"/>
      <c r="S126" s="14"/>
      <c r="T126" s="14"/>
      <c r="U126" s="14"/>
      <c r="V126" s="14"/>
      <c r="W126" s="14"/>
      <c r="X126" s="14"/>
      <c r="Y126" s="14"/>
    </row>
    <row r="127" spans="4:25" x14ac:dyDescent="0.25">
      <c r="E127" s="29"/>
      <c r="F127" t="s">
        <v>216</v>
      </c>
      <c r="G127" t="s">
        <v>209</v>
      </c>
      <c r="J127" s="254" t="b">
        <v>0</v>
      </c>
      <c r="K127" s="254" t="b">
        <v>0</v>
      </c>
      <c r="L127" s="254" t="b">
        <v>0</v>
      </c>
      <c r="M127" s="254" t="b">
        <v>0</v>
      </c>
      <c r="N127" s="254" t="b">
        <v>0</v>
      </c>
      <c r="O127" s="254" t="b">
        <v>0</v>
      </c>
      <c r="P127" s="254" t="b">
        <v>0</v>
      </c>
      <c r="Q127" s="254" t="b">
        <v>1</v>
      </c>
      <c r="R127" s="254" t="b">
        <v>0</v>
      </c>
      <c r="S127" s="254" t="b">
        <v>0</v>
      </c>
      <c r="T127" s="254" t="b">
        <v>0</v>
      </c>
      <c r="U127" s="254" t="b">
        <v>0</v>
      </c>
      <c r="V127" s="254" t="b">
        <v>0</v>
      </c>
      <c r="W127" s="254" t="b">
        <v>0</v>
      </c>
      <c r="X127" s="254" t="b">
        <v>0</v>
      </c>
      <c r="Y127" s="254" t="b">
        <v>0</v>
      </c>
    </row>
    <row r="128" spans="4:25" x14ac:dyDescent="0.25">
      <c r="E128" s="29"/>
      <c r="J128" s="14"/>
      <c r="K128" s="14"/>
      <c r="L128" s="14"/>
      <c r="M128" s="14"/>
      <c r="N128" s="14"/>
      <c r="O128" s="14"/>
      <c r="P128" s="14"/>
      <c r="Q128" s="14"/>
      <c r="R128" s="14"/>
      <c r="S128" s="14"/>
      <c r="T128" s="14"/>
      <c r="U128" s="14"/>
      <c r="V128" s="14"/>
      <c r="W128" s="14"/>
      <c r="X128" s="14"/>
      <c r="Y128" s="14"/>
    </row>
    <row r="129" spans="3:27" x14ac:dyDescent="0.25">
      <c r="E129" s="32" t="s">
        <v>219</v>
      </c>
      <c r="J129" s="14"/>
      <c r="K129" s="14"/>
      <c r="L129" s="14"/>
      <c r="M129" s="14"/>
      <c r="N129" s="14"/>
      <c r="O129" s="14"/>
      <c r="P129" s="14"/>
      <c r="Q129" s="14"/>
      <c r="R129" s="14"/>
      <c r="S129" s="14"/>
      <c r="T129" s="14"/>
      <c r="U129" s="14"/>
      <c r="V129" s="14"/>
      <c r="W129" s="14"/>
      <c r="X129" s="14"/>
      <c r="Y129" s="14"/>
    </row>
    <row r="130" spans="3:27" x14ac:dyDescent="0.25">
      <c r="E130" s="29" t="s">
        <v>220</v>
      </c>
      <c r="J130" s="14"/>
      <c r="K130" s="14"/>
      <c r="L130" s="14"/>
      <c r="M130" s="14"/>
      <c r="N130" s="14"/>
      <c r="O130" s="14"/>
      <c r="P130" s="14"/>
      <c r="Q130" s="14"/>
      <c r="R130" s="14"/>
      <c r="S130" s="14"/>
      <c r="T130" s="14"/>
      <c r="U130" s="14"/>
      <c r="V130" s="14"/>
      <c r="W130" s="14"/>
      <c r="X130" s="14"/>
      <c r="Y130" s="14"/>
    </row>
    <row r="131" spans="3:27" x14ac:dyDescent="0.25">
      <c r="E131" s="29"/>
      <c r="F131" t="s">
        <v>221</v>
      </c>
      <c r="G131" t="s">
        <v>209</v>
      </c>
      <c r="J131" s="254" t="b">
        <v>1</v>
      </c>
      <c r="K131" s="254" t="b">
        <v>0</v>
      </c>
      <c r="L131" s="254" t="b">
        <v>1</v>
      </c>
      <c r="M131" s="254" t="b">
        <v>0</v>
      </c>
      <c r="N131" s="254" t="b">
        <v>1</v>
      </c>
      <c r="O131" s="254" t="b">
        <v>1</v>
      </c>
      <c r="P131" s="254" t="b">
        <v>1</v>
      </c>
      <c r="Q131" s="254" t="b">
        <v>1</v>
      </c>
      <c r="R131" s="254" t="b">
        <v>1</v>
      </c>
      <c r="S131" s="254" t="b">
        <v>1</v>
      </c>
      <c r="T131" s="254" t="b">
        <v>1</v>
      </c>
      <c r="U131" s="254" t="b">
        <v>1</v>
      </c>
      <c r="V131" s="254" t="b">
        <v>1</v>
      </c>
      <c r="W131" s="254" t="b">
        <v>1</v>
      </c>
      <c r="X131" s="254" t="b">
        <v>1</v>
      </c>
      <c r="Y131" s="254" t="b">
        <v>1</v>
      </c>
    </row>
    <row r="132" spans="3:27" x14ac:dyDescent="0.25">
      <c r="D132" s="29"/>
      <c r="J132" s="14"/>
      <c r="K132" s="14"/>
      <c r="L132" s="14"/>
      <c r="M132" s="14"/>
      <c r="N132" s="14"/>
      <c r="O132" s="14"/>
      <c r="P132" s="14"/>
      <c r="Q132" s="14"/>
      <c r="R132" s="14"/>
      <c r="S132" s="14"/>
      <c r="T132" s="14"/>
      <c r="U132" s="14"/>
      <c r="V132" s="14"/>
      <c r="W132" s="14"/>
      <c r="X132" s="14"/>
      <c r="Y132" s="14"/>
    </row>
    <row r="133" spans="3:27" x14ac:dyDescent="0.25">
      <c r="E133" s="32" t="s">
        <v>222</v>
      </c>
      <c r="I133" t="s">
        <v>154</v>
      </c>
      <c r="J133" s="14"/>
      <c r="K133" s="14"/>
      <c r="L133" s="14"/>
      <c r="M133" s="14"/>
      <c r="N133" s="14"/>
      <c r="O133" s="14"/>
      <c r="P133" s="14"/>
      <c r="Q133" s="14"/>
      <c r="R133" s="14"/>
      <c r="S133" s="14"/>
      <c r="T133" s="14"/>
      <c r="U133" s="14"/>
      <c r="V133" s="14"/>
      <c r="W133" s="14"/>
      <c r="X133" s="14"/>
      <c r="Y133" s="14"/>
      <c r="AA133" t="s">
        <v>223</v>
      </c>
    </row>
    <row r="134" spans="3:27" x14ac:dyDescent="0.25">
      <c r="E134" s="29" t="s">
        <v>224</v>
      </c>
      <c r="J134" s="14"/>
      <c r="K134" s="14"/>
      <c r="L134" s="14"/>
      <c r="M134" s="14"/>
      <c r="N134" s="14"/>
      <c r="O134" s="14"/>
      <c r="P134" s="14"/>
      <c r="Q134" s="14"/>
      <c r="R134" s="14"/>
      <c r="S134" s="14"/>
      <c r="T134" s="14"/>
      <c r="U134" s="14"/>
      <c r="V134" s="14"/>
      <c r="W134" s="14"/>
      <c r="X134" s="14"/>
      <c r="Y134" s="14"/>
    </row>
    <row r="135" spans="3:27" x14ac:dyDescent="0.25">
      <c r="E135" s="29" t="s">
        <v>225</v>
      </c>
      <c r="J135" s="14"/>
      <c r="K135" s="14"/>
      <c r="L135" s="14"/>
      <c r="M135" s="14"/>
      <c r="N135" s="14"/>
      <c r="O135" s="14"/>
      <c r="P135" s="14"/>
      <c r="Q135" s="14"/>
      <c r="R135" s="14"/>
      <c r="S135" s="14"/>
      <c r="T135" s="14"/>
      <c r="U135" s="14"/>
      <c r="V135" s="14"/>
      <c r="W135" s="14"/>
      <c r="X135" s="14"/>
      <c r="Y135" s="14"/>
    </row>
    <row r="136" spans="3:27" x14ac:dyDescent="0.25">
      <c r="E136" s="29"/>
      <c r="F136" t="s">
        <v>160</v>
      </c>
      <c r="G136" t="s">
        <v>176</v>
      </c>
      <c r="J136" s="254">
        <v>0</v>
      </c>
      <c r="K136" s="254">
        <v>0</v>
      </c>
      <c r="L136" s="254">
        <v>0</v>
      </c>
      <c r="M136" s="254">
        <v>0</v>
      </c>
      <c r="N136" s="254">
        <v>1</v>
      </c>
      <c r="O136" s="254">
        <v>1</v>
      </c>
      <c r="P136" s="254">
        <v>1</v>
      </c>
      <c r="Q136" s="254">
        <v>0</v>
      </c>
      <c r="R136" s="254">
        <v>0</v>
      </c>
      <c r="S136" s="254">
        <v>0</v>
      </c>
      <c r="T136" s="254">
        <v>0</v>
      </c>
      <c r="U136" s="254">
        <v>0</v>
      </c>
      <c r="V136" s="254">
        <v>0</v>
      </c>
      <c r="W136" s="254">
        <v>0</v>
      </c>
      <c r="X136" s="254">
        <v>0</v>
      </c>
      <c r="Y136" s="254">
        <v>0</v>
      </c>
    </row>
    <row r="137" spans="3:27" x14ac:dyDescent="0.25">
      <c r="E137" s="29"/>
      <c r="F137" t="s">
        <v>161</v>
      </c>
      <c r="G137" t="s">
        <v>176</v>
      </c>
      <c r="J137" s="254">
        <v>0</v>
      </c>
      <c r="K137" s="254">
        <v>0</v>
      </c>
      <c r="L137" s="254">
        <v>0</v>
      </c>
      <c r="M137" s="254">
        <v>0</v>
      </c>
      <c r="N137" s="254">
        <v>1</v>
      </c>
      <c r="O137" s="254">
        <v>1</v>
      </c>
      <c r="P137" s="254">
        <v>1</v>
      </c>
      <c r="Q137" s="254">
        <v>0</v>
      </c>
      <c r="R137" s="254">
        <v>0</v>
      </c>
      <c r="S137" s="254">
        <v>0</v>
      </c>
      <c r="T137" s="254">
        <v>0</v>
      </c>
      <c r="U137" s="254">
        <v>0</v>
      </c>
      <c r="V137" s="254">
        <v>0</v>
      </c>
      <c r="W137" s="254">
        <v>0</v>
      </c>
      <c r="X137" s="254">
        <v>0</v>
      </c>
      <c r="Y137" s="254">
        <v>0</v>
      </c>
    </row>
    <row r="138" spans="3:27" x14ac:dyDescent="0.25">
      <c r="E138" s="29"/>
      <c r="F138" t="s">
        <v>226</v>
      </c>
      <c r="G138" t="s">
        <v>176</v>
      </c>
      <c r="J138" s="254">
        <v>0</v>
      </c>
      <c r="K138" s="254">
        <v>0</v>
      </c>
      <c r="L138" s="254">
        <v>0</v>
      </c>
      <c r="M138" s="254">
        <v>0</v>
      </c>
      <c r="N138" s="254">
        <v>1</v>
      </c>
      <c r="O138" s="254">
        <v>1</v>
      </c>
      <c r="P138" s="254">
        <v>1</v>
      </c>
      <c r="Q138" s="254">
        <v>0</v>
      </c>
      <c r="R138" s="254">
        <v>0</v>
      </c>
      <c r="S138" s="254">
        <v>0</v>
      </c>
      <c r="T138" s="254">
        <v>1</v>
      </c>
      <c r="U138" s="254">
        <v>0</v>
      </c>
      <c r="V138" s="254">
        <v>1</v>
      </c>
      <c r="W138" s="254">
        <v>0</v>
      </c>
      <c r="X138" s="254">
        <v>1</v>
      </c>
      <c r="Y138" s="254">
        <v>0</v>
      </c>
    </row>
    <row r="139" spans="3:27" x14ac:dyDescent="0.25">
      <c r="E139" s="29"/>
      <c r="F139" t="s">
        <v>227</v>
      </c>
      <c r="G139" t="s">
        <v>176</v>
      </c>
      <c r="J139" s="254">
        <v>1</v>
      </c>
      <c r="K139" s="254">
        <v>0</v>
      </c>
      <c r="L139" s="254">
        <v>1</v>
      </c>
      <c r="M139" s="254">
        <v>0</v>
      </c>
      <c r="N139" s="254">
        <v>0</v>
      </c>
      <c r="O139" s="254">
        <v>0</v>
      </c>
      <c r="P139" s="254">
        <v>0</v>
      </c>
      <c r="Q139" s="254">
        <v>0</v>
      </c>
      <c r="R139" s="254">
        <v>0</v>
      </c>
      <c r="S139" s="254">
        <v>0</v>
      </c>
      <c r="T139" s="254">
        <v>0</v>
      </c>
      <c r="U139" s="254">
        <v>0</v>
      </c>
      <c r="V139" s="254">
        <v>0</v>
      </c>
      <c r="W139" s="254">
        <v>0</v>
      </c>
      <c r="X139" s="254">
        <v>0</v>
      </c>
      <c r="Y139" s="254">
        <v>0</v>
      </c>
    </row>
    <row r="140" spans="3:27" x14ac:dyDescent="0.25">
      <c r="D140" s="29"/>
      <c r="J140" s="14"/>
      <c r="K140" s="14"/>
      <c r="L140" s="14"/>
      <c r="M140" s="14"/>
      <c r="N140" s="14"/>
      <c r="O140" s="14"/>
      <c r="P140" s="14"/>
      <c r="Q140" s="14"/>
      <c r="R140" s="14"/>
      <c r="S140" s="14"/>
      <c r="T140" s="14"/>
      <c r="U140" s="14"/>
      <c r="V140" s="14"/>
      <c r="W140" s="14"/>
      <c r="X140" s="14"/>
      <c r="Y140" s="14"/>
    </row>
    <row r="141" spans="3:27" x14ac:dyDescent="0.25">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row>
    <row r="143" spans="3:27" x14ac:dyDescent="0.25">
      <c r="E143" s="32" t="s">
        <v>228</v>
      </c>
      <c r="F143" s="32"/>
    </row>
    <row r="144" spans="3:27" x14ac:dyDescent="0.25">
      <c r="E144" s="29" t="s">
        <v>229</v>
      </c>
      <c r="F144" s="29"/>
      <c r="I144" t="s">
        <v>154</v>
      </c>
      <c r="AA144" t="s">
        <v>1069</v>
      </c>
    </row>
    <row r="145" spans="3:61" x14ac:dyDescent="0.25">
      <c r="E145" s="29"/>
      <c r="F145" s="28" t="s">
        <v>228</v>
      </c>
      <c r="G145" t="s">
        <v>149</v>
      </c>
      <c r="J145" s="246">
        <v>1</v>
      </c>
      <c r="K145" s="70"/>
      <c r="L145" s="246">
        <v>1</v>
      </c>
      <c r="M145" s="70"/>
      <c r="N145" s="70"/>
      <c r="O145" s="70"/>
      <c r="P145" s="70"/>
      <c r="Q145" s="70"/>
      <c r="R145" s="70"/>
      <c r="S145" s="70"/>
      <c r="T145" s="70"/>
      <c r="U145" s="70"/>
      <c r="V145" s="70"/>
      <c r="W145" s="70"/>
      <c r="X145" s="70"/>
      <c r="Y145" s="70"/>
    </row>
    <row r="146" spans="3:61" x14ac:dyDescent="0.25">
      <c r="E146" s="29"/>
      <c r="F146" s="29"/>
    </row>
    <row r="147" spans="3:61" x14ac:dyDescent="0.25">
      <c r="E147" s="32" t="s">
        <v>1005</v>
      </c>
      <c r="F147" s="32"/>
      <c r="I147" t="s">
        <v>154</v>
      </c>
      <c r="AA147" t="s">
        <v>1019</v>
      </c>
    </row>
    <row r="148" spans="3:61" x14ac:dyDescent="0.25">
      <c r="E148" s="29" t="s">
        <v>1006</v>
      </c>
      <c r="F148" s="29"/>
    </row>
    <row r="149" spans="3:61" x14ac:dyDescent="0.25">
      <c r="E149" s="29"/>
      <c r="F149" s="28" t="s">
        <v>1007</v>
      </c>
      <c r="G149" t="s">
        <v>149</v>
      </c>
      <c r="J149" s="246">
        <v>1</v>
      </c>
      <c r="K149" s="246">
        <v>1</v>
      </c>
      <c r="L149" s="246">
        <v>2</v>
      </c>
      <c r="M149" s="246">
        <v>2</v>
      </c>
      <c r="N149" s="70"/>
      <c r="O149" s="70"/>
      <c r="P149" s="70"/>
      <c r="Q149" s="70"/>
      <c r="R149" s="70"/>
      <c r="S149" s="70"/>
      <c r="T149" s="70"/>
      <c r="U149" s="70"/>
      <c r="V149" s="70"/>
      <c r="W149" s="70"/>
      <c r="X149" s="70"/>
      <c r="Y149" s="70"/>
    </row>
    <row r="150" spans="3:61" x14ac:dyDescent="0.25">
      <c r="E150" s="29"/>
      <c r="F150" s="29"/>
    </row>
    <row r="151" spans="3:61" x14ac:dyDescent="0.25">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row>
    <row r="153" spans="3:61" x14ac:dyDescent="0.25">
      <c r="E153" t="s">
        <v>230</v>
      </c>
      <c r="G153" t="s">
        <v>149</v>
      </c>
      <c r="H153" s="246">
        <v>3</v>
      </c>
    </row>
    <row r="155" spans="3:61" x14ac:dyDescent="0.25">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25">
      <c r="C157" s="88"/>
      <c r="D157" s="2"/>
      <c r="E157" s="32" t="s">
        <v>1032</v>
      </c>
      <c r="I157" t="s">
        <v>154</v>
      </c>
      <c r="J157" s="89"/>
      <c r="K157" s="89"/>
      <c r="L157" s="89"/>
      <c r="M157" s="89"/>
      <c r="N157" s="89"/>
      <c r="O157" s="89"/>
      <c r="P157" s="89"/>
      <c r="Q157" s="89"/>
      <c r="R157" s="89"/>
      <c r="S157" s="89"/>
      <c r="T157" s="89"/>
      <c r="U157" s="89"/>
      <c r="V157" s="89"/>
      <c r="W157" s="89"/>
      <c r="X157" s="89"/>
      <c r="Y157" s="89"/>
      <c r="Z157" s="89"/>
      <c r="AA157" s="89" t="s">
        <v>1064</v>
      </c>
      <c r="AB157" s="89"/>
      <c r="AC157" s="89"/>
      <c r="AD157" s="89"/>
      <c r="AE157" s="89"/>
      <c r="AF157" s="89"/>
      <c r="AG157" s="89"/>
      <c r="AH157" s="89"/>
      <c r="AI157" s="89"/>
      <c r="AJ157" s="89"/>
      <c r="AK157" s="89"/>
      <c r="AL157" s="89"/>
      <c r="AM157" s="89"/>
      <c r="AN157" s="89"/>
      <c r="AO157" s="89"/>
      <c r="AP157" s="89"/>
    </row>
    <row r="158" spans="3:61" x14ac:dyDescent="0.25">
      <c r="C158" s="88"/>
      <c r="D158" s="2"/>
      <c r="F158" s="23" t="s">
        <v>1033</v>
      </c>
      <c r="G158" s="23" t="s">
        <v>176</v>
      </c>
      <c r="H158" s="23"/>
      <c r="I158" s="23"/>
      <c r="J158" s="339">
        <v>1</v>
      </c>
      <c r="K158" s="339">
        <v>0</v>
      </c>
      <c r="L158" s="339">
        <v>0</v>
      </c>
      <c r="M158" s="339">
        <v>0</v>
      </c>
      <c r="N158" s="339">
        <v>0</v>
      </c>
      <c r="O158" s="339">
        <v>0</v>
      </c>
      <c r="P158" s="339">
        <v>0</v>
      </c>
      <c r="Q158" s="339">
        <v>0</v>
      </c>
      <c r="R158" s="339">
        <v>0</v>
      </c>
      <c r="S158" s="339">
        <v>0</v>
      </c>
      <c r="T158" s="339">
        <v>0</v>
      </c>
      <c r="U158" s="339">
        <v>0</v>
      </c>
      <c r="V158" s="339">
        <v>0</v>
      </c>
      <c r="W158" s="339">
        <v>0</v>
      </c>
      <c r="X158" s="339">
        <v>0</v>
      </c>
      <c r="Y158" s="339">
        <v>0</v>
      </c>
      <c r="Z158" s="89"/>
      <c r="AA158" s="89"/>
      <c r="AB158" s="89"/>
      <c r="AC158" s="89"/>
      <c r="AD158" s="89"/>
      <c r="AE158" s="89"/>
      <c r="AF158" s="89"/>
      <c r="AG158" s="89"/>
      <c r="AH158" s="89"/>
      <c r="AI158" s="89"/>
      <c r="AJ158" s="89"/>
      <c r="AK158" s="89"/>
      <c r="AL158" s="89"/>
      <c r="AM158" s="89"/>
      <c r="AN158" s="89"/>
      <c r="AO158" s="89"/>
      <c r="AP158" s="89"/>
    </row>
    <row r="159" spans="3:61" x14ac:dyDescent="0.25">
      <c r="C159" s="88"/>
      <c r="D159" s="2"/>
      <c r="F159" s="37" t="s">
        <v>1034</v>
      </c>
      <c r="G159" s="37" t="s">
        <v>176</v>
      </c>
      <c r="H159" s="37"/>
      <c r="I159" s="37"/>
      <c r="J159" s="340">
        <v>1</v>
      </c>
      <c r="K159" s="340">
        <v>0</v>
      </c>
      <c r="L159" s="340">
        <v>1</v>
      </c>
      <c r="M159" s="340">
        <v>0</v>
      </c>
      <c r="N159" s="340">
        <v>1</v>
      </c>
      <c r="O159" s="340">
        <v>1</v>
      </c>
      <c r="P159" s="340">
        <v>1</v>
      </c>
      <c r="Q159" s="340">
        <v>0</v>
      </c>
      <c r="R159" s="340">
        <v>0</v>
      </c>
      <c r="S159" s="340">
        <v>0</v>
      </c>
      <c r="T159" s="340">
        <v>0</v>
      </c>
      <c r="U159" s="340">
        <v>0</v>
      </c>
      <c r="V159" s="340">
        <v>0</v>
      </c>
      <c r="W159" s="340">
        <v>0</v>
      </c>
      <c r="X159" s="340">
        <v>0</v>
      </c>
      <c r="Y159" s="340">
        <v>0</v>
      </c>
      <c r="Z159" s="89"/>
      <c r="AA159" s="89"/>
      <c r="AB159" s="89"/>
      <c r="AC159" s="89"/>
      <c r="AD159" s="89"/>
      <c r="AE159" s="89"/>
      <c r="AF159" s="89"/>
      <c r="AG159" s="89"/>
      <c r="AH159" s="89"/>
      <c r="AI159" s="89"/>
      <c r="AJ159" s="89"/>
      <c r="AK159" s="89"/>
      <c r="AL159" s="89"/>
      <c r="AM159" s="89"/>
      <c r="AN159" s="89"/>
      <c r="AO159" s="89"/>
      <c r="AP159" s="89"/>
    </row>
    <row r="160" spans="3:61" x14ac:dyDescent="0.25">
      <c r="C160" s="88"/>
      <c r="D160" s="2"/>
      <c r="F160" s="324"/>
      <c r="G160" s="324"/>
      <c r="H160" s="324"/>
      <c r="I160" s="324"/>
      <c r="J160" s="324"/>
      <c r="K160" s="324"/>
      <c r="L160" s="324"/>
      <c r="M160" s="324"/>
      <c r="N160" s="324"/>
      <c r="O160" s="324"/>
      <c r="P160" s="324"/>
      <c r="Q160" s="324"/>
      <c r="R160" s="324"/>
      <c r="S160" s="324"/>
      <c r="T160" s="324"/>
      <c r="U160" s="324"/>
      <c r="V160" s="324"/>
      <c r="W160" s="324"/>
      <c r="X160" s="324"/>
      <c r="Y160" s="324"/>
      <c r="Z160" s="324"/>
      <c r="AA160" s="324"/>
      <c r="AB160" s="89"/>
      <c r="AC160" s="89"/>
      <c r="AD160" s="89"/>
      <c r="AE160" s="89"/>
      <c r="AF160" s="89"/>
      <c r="AG160" s="89"/>
      <c r="AH160" s="89"/>
      <c r="AI160" s="89"/>
      <c r="AJ160" s="89"/>
      <c r="AK160" s="89"/>
      <c r="AL160" s="89"/>
      <c r="AM160" s="89"/>
      <c r="AN160" s="89"/>
      <c r="AO160" s="89"/>
      <c r="AP160" s="89"/>
      <c r="AQ160" s="324"/>
      <c r="AR160" s="324"/>
      <c r="AS160" s="324"/>
      <c r="AT160" s="324"/>
      <c r="AU160" s="324"/>
      <c r="AV160" s="324"/>
      <c r="AW160" s="324"/>
      <c r="AX160" s="324"/>
      <c r="AY160" s="324"/>
      <c r="AZ160" s="324"/>
      <c r="BA160" s="324"/>
      <c r="BB160" s="324"/>
      <c r="BC160" s="324"/>
      <c r="BD160" s="324"/>
      <c r="BE160" s="324"/>
      <c r="BF160" s="324"/>
      <c r="BG160" s="324"/>
      <c r="BH160" s="324"/>
      <c r="BI160" s="324"/>
    </row>
    <row r="161" spans="2:27" x14ac:dyDescent="0.25">
      <c r="B161" s="30" t="s">
        <v>231</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row>
    <row r="162" spans="2:27" x14ac:dyDescent="0.25">
      <c r="F162" s="3"/>
      <c r="G162" s="3"/>
      <c r="H162" s="3"/>
      <c r="I162" s="3"/>
    </row>
    <row r="163" spans="2:27" x14ac:dyDescent="0.25">
      <c r="E163" t="s">
        <v>232</v>
      </c>
      <c r="G163" s="6" t="s">
        <v>55</v>
      </c>
      <c r="H163" s="24">
        <f t="array" ref="H163">SUM(IF(ISERROR(H15:Y146), 1))</f>
        <v>0</v>
      </c>
      <c r="I163" s="3"/>
    </row>
    <row r="164" spans="2:27" x14ac:dyDescent="0.25">
      <c r="I164" s="3"/>
    </row>
    <row r="165" spans="2:27" x14ac:dyDescent="0.25">
      <c r="E165" s="32" t="s">
        <v>233</v>
      </c>
      <c r="I165" s="3"/>
    </row>
    <row r="166" spans="2:27" x14ac:dyDescent="0.25">
      <c r="F166" s="23" t="s">
        <v>234</v>
      </c>
      <c r="G166" s="73" t="s">
        <v>55</v>
      </c>
      <c r="H166" s="74">
        <f>SUM(J166:Y166)</f>
        <v>0</v>
      </c>
      <c r="I166" s="69"/>
      <c r="J166" s="74">
        <f t="shared" ref="J166:K166" si="0">IF( OR( AND(J105 = TRUE, NOT(ISBLANK(J106))), AND(J105 = FALSE, J106 = 0)), 0, 1)</f>
        <v>0</v>
      </c>
      <c r="K166" s="74">
        <f t="shared" si="0"/>
        <v>0</v>
      </c>
      <c r="L166" s="74">
        <f t="shared" ref="L166:M166" si="1">IF( OR( AND(L105 = TRUE, NOT(ISBLANK(L106))), AND(L105 = FALSE, L106 = 0)), 0, 1)</f>
        <v>0</v>
      </c>
      <c r="M166" s="74">
        <f t="shared" si="1"/>
        <v>0</v>
      </c>
      <c r="N166" s="74">
        <f t="shared" ref="N166:P166" si="2">IF( OR( AND(N105 = TRUE, NOT(ISBLANK(N106))), AND(N105 = FALSE, N106 = 0)), 0, 1)</f>
        <v>0</v>
      </c>
      <c r="O166" s="74">
        <f t="shared" si="2"/>
        <v>0</v>
      </c>
      <c r="P166" s="74">
        <f t="shared" si="2"/>
        <v>0</v>
      </c>
      <c r="Q166" s="74">
        <f t="shared" ref="Q166:S166" si="3">IF( OR( AND(Q105 = TRUE, NOT(ISBLANK(Q106))), AND(Q105 = FALSE, Q106 = 0)), 0, 1)</f>
        <v>0</v>
      </c>
      <c r="R166" s="74">
        <f t="shared" si="3"/>
        <v>0</v>
      </c>
      <c r="S166" s="74">
        <f t="shared" si="3"/>
        <v>0</v>
      </c>
      <c r="T166" s="74">
        <f t="shared" ref="T166:U166" si="4">IF( OR( AND(T105 = TRUE, NOT(ISBLANK(T106))), AND(T105 = FALSE, T106 = 0)), 0, 1)</f>
        <v>0</v>
      </c>
      <c r="U166" s="74">
        <f t="shared" si="4"/>
        <v>0</v>
      </c>
      <c r="V166" s="74">
        <f t="shared" ref="V166:W166" si="5">IF( OR( AND(V105 = TRUE, NOT(ISBLANK(V106))), AND(V105 = FALSE, V106 = 0)), 0, 1)</f>
        <v>0</v>
      </c>
      <c r="W166" s="74">
        <f t="shared" si="5"/>
        <v>0</v>
      </c>
      <c r="X166" s="74">
        <f t="shared" ref="X166:Y166" si="6">IF( OR( AND(X105 = TRUE, NOT(ISBLANK(X106))), AND(X105 = FALSE, X106 = 0)), 0, 1)</f>
        <v>0</v>
      </c>
      <c r="Y166" s="74">
        <f t="shared" si="6"/>
        <v>0</v>
      </c>
    </row>
    <row r="167" spans="2:27" x14ac:dyDescent="0.25">
      <c r="F167" t="s">
        <v>235</v>
      </c>
      <c r="G167" s="6" t="s">
        <v>55</v>
      </c>
      <c r="H167" s="24">
        <f>SUM(J167:Y167)</f>
        <v>0</v>
      </c>
      <c r="I167" s="3"/>
      <c r="J167" s="24">
        <f t="shared" ref="J167:K167" si="7">IF( OR( AND(J109 = TRUE, NOT(ISBLANK(J110))), AND(J109 = FALSE, J110 = 0)), 0, 1)</f>
        <v>0</v>
      </c>
      <c r="K167" s="24">
        <f t="shared" si="7"/>
        <v>0</v>
      </c>
      <c r="L167" s="24">
        <f t="shared" ref="L167:M167" si="8">IF( OR( AND(L109 = TRUE, NOT(ISBLANK(L110))), AND(L109 = FALSE, L110 = 0)), 0, 1)</f>
        <v>0</v>
      </c>
      <c r="M167" s="24">
        <f t="shared" si="8"/>
        <v>0</v>
      </c>
      <c r="N167" s="24">
        <f t="shared" ref="N167:P167" si="9">IF( OR( AND(N109 = TRUE, NOT(ISBLANK(N110))), AND(N109 = FALSE, N110 = 0)), 0, 1)</f>
        <v>0</v>
      </c>
      <c r="O167" s="24">
        <f t="shared" si="9"/>
        <v>0</v>
      </c>
      <c r="P167" s="24">
        <f t="shared" si="9"/>
        <v>0</v>
      </c>
      <c r="Q167" s="24">
        <f t="shared" ref="Q167:S167" si="10">IF( OR( AND(Q109 = TRUE, NOT(ISBLANK(Q110))), AND(Q109 = FALSE, Q110 = 0)), 0, 1)</f>
        <v>0</v>
      </c>
      <c r="R167" s="24">
        <f t="shared" si="10"/>
        <v>0</v>
      </c>
      <c r="S167" s="24">
        <f t="shared" si="10"/>
        <v>0</v>
      </c>
      <c r="T167" s="24">
        <f t="shared" ref="T167:U167" si="11">IF( OR( AND(T109 = TRUE, NOT(ISBLANK(T110))), AND(T109 = FALSE, T110 = 0)), 0, 1)</f>
        <v>0</v>
      </c>
      <c r="U167" s="24">
        <f t="shared" si="11"/>
        <v>0</v>
      </c>
      <c r="V167" s="24">
        <f t="shared" ref="V167:W167" si="12">IF( OR( AND(V109 = TRUE, NOT(ISBLANK(V110))), AND(V109 = FALSE, V110 = 0)), 0, 1)</f>
        <v>0</v>
      </c>
      <c r="W167" s="24">
        <f t="shared" si="12"/>
        <v>0</v>
      </c>
      <c r="X167" s="24">
        <f t="shared" ref="X167:Y167" si="13">IF( OR( AND(X109 = TRUE, NOT(ISBLANK(X110))), AND(X109 = FALSE, X110 = 0)), 0, 1)</f>
        <v>0</v>
      </c>
      <c r="Y167" s="24">
        <f t="shared" si="13"/>
        <v>0</v>
      </c>
    </row>
    <row r="168" spans="2:27" x14ac:dyDescent="0.25">
      <c r="F168" t="s">
        <v>236</v>
      </c>
      <c r="G168" s="6" t="s">
        <v>55</v>
      </c>
      <c r="H168" s="24">
        <f>SUM(J168:Y168)</f>
        <v>0</v>
      </c>
      <c r="I168" s="3"/>
      <c r="J168" s="24">
        <f t="shared" ref="J168:K168" si="14">IF( OR( AND(J113 = TRUE, NOT(ISBLANK(J114))), AND(J113 = FALSE, J114 = 0)), 0, 1)</f>
        <v>0</v>
      </c>
      <c r="K168" s="24">
        <f t="shared" si="14"/>
        <v>0</v>
      </c>
      <c r="L168" s="24">
        <f t="shared" ref="L168:M168" si="15">IF( OR( AND(L113 = TRUE, NOT(ISBLANK(L114))), AND(L113 = FALSE, L114 = 0)), 0, 1)</f>
        <v>0</v>
      </c>
      <c r="M168" s="24">
        <f t="shared" si="15"/>
        <v>0</v>
      </c>
      <c r="N168" s="24">
        <f t="shared" ref="N168:P168" si="16">IF( OR( AND(N113 = TRUE, NOT(ISBLANK(N114))), AND(N113 = FALSE, N114 = 0)), 0, 1)</f>
        <v>0</v>
      </c>
      <c r="O168" s="24">
        <f t="shared" si="16"/>
        <v>0</v>
      </c>
      <c r="P168" s="24">
        <f t="shared" si="16"/>
        <v>0</v>
      </c>
      <c r="Q168" s="24">
        <f t="shared" ref="Q168:S168" si="17">IF( OR( AND(Q113 = TRUE, NOT(ISBLANK(Q114))), AND(Q113 = FALSE, Q114 = 0)), 0, 1)</f>
        <v>0</v>
      </c>
      <c r="R168" s="24">
        <f t="shared" si="17"/>
        <v>0</v>
      </c>
      <c r="S168" s="24">
        <f t="shared" si="17"/>
        <v>0</v>
      </c>
      <c r="T168" s="24">
        <f t="shared" ref="T168:U168" si="18">IF( OR( AND(T113 = TRUE, NOT(ISBLANK(T114))), AND(T113 = FALSE, T114 = 0)), 0, 1)</f>
        <v>0</v>
      </c>
      <c r="U168" s="24">
        <f t="shared" si="18"/>
        <v>0</v>
      </c>
      <c r="V168" s="24">
        <f t="shared" ref="V168:W168" si="19">IF( OR( AND(V113 = TRUE, NOT(ISBLANK(V114))), AND(V113 = FALSE, V114 = 0)), 0, 1)</f>
        <v>0</v>
      </c>
      <c r="W168" s="24">
        <f t="shared" si="19"/>
        <v>0</v>
      </c>
      <c r="X168" s="24">
        <f t="shared" ref="X168:Y168" si="20">IF( OR( AND(X113 = TRUE, NOT(ISBLANK(X114))), AND(X113 = FALSE, X114 = 0)), 0, 1)</f>
        <v>0</v>
      </c>
      <c r="Y168" s="24">
        <f t="shared" si="20"/>
        <v>0</v>
      </c>
    </row>
    <row r="169" spans="2:27" x14ac:dyDescent="0.25">
      <c r="F169" t="s">
        <v>237</v>
      </c>
      <c r="G169" s="6" t="s">
        <v>55</v>
      </c>
      <c r="H169" s="24">
        <f>SUM(J169:Y169)</f>
        <v>0</v>
      </c>
      <c r="I169" s="3"/>
      <c r="J169" s="24">
        <f t="shared" ref="J169:K169" si="21">IF( OR( AND(J117 = TRUE, NOT(ISBLANK(J118))), AND(J117 = FALSE, J118 = 0)), 0, 1)</f>
        <v>0</v>
      </c>
      <c r="K169" s="24">
        <f t="shared" si="21"/>
        <v>0</v>
      </c>
      <c r="L169" s="24">
        <f t="shared" ref="L169:M169" si="22">IF( OR( AND(L117 = TRUE, NOT(ISBLANK(L118))), AND(L117 = FALSE, L118 = 0)), 0, 1)</f>
        <v>0</v>
      </c>
      <c r="M169" s="24">
        <f t="shared" si="22"/>
        <v>0</v>
      </c>
      <c r="N169" s="24">
        <f t="shared" ref="N169:P169" si="23">IF( OR( AND(N117 = TRUE, NOT(ISBLANK(N118))), AND(N117 = FALSE, N118 = 0)), 0, 1)</f>
        <v>0</v>
      </c>
      <c r="O169" s="24">
        <f t="shared" si="23"/>
        <v>0</v>
      </c>
      <c r="P169" s="24">
        <f t="shared" si="23"/>
        <v>0</v>
      </c>
      <c r="Q169" s="24">
        <f t="shared" ref="Q169:S169" si="24">IF( OR( AND(Q117 = TRUE, NOT(ISBLANK(Q118))), AND(Q117 = FALSE, Q118 = 0)), 0, 1)</f>
        <v>0</v>
      </c>
      <c r="R169" s="24">
        <f t="shared" si="24"/>
        <v>0</v>
      </c>
      <c r="S169" s="24">
        <f t="shared" si="24"/>
        <v>0</v>
      </c>
      <c r="T169" s="24">
        <f t="shared" ref="T169:U169" si="25">IF( OR( AND(T117 = TRUE, NOT(ISBLANK(T118))), AND(T117 = FALSE, T118 = 0)), 0, 1)</f>
        <v>0</v>
      </c>
      <c r="U169" s="24">
        <f t="shared" si="25"/>
        <v>0</v>
      </c>
      <c r="V169" s="24">
        <f t="shared" ref="V169:W169" si="26">IF( OR( AND(V117 = TRUE, NOT(ISBLANK(V118))), AND(V117 = FALSE, V118 = 0)), 0, 1)</f>
        <v>0</v>
      </c>
      <c r="W169" s="24">
        <f t="shared" si="26"/>
        <v>0</v>
      </c>
      <c r="X169" s="24">
        <f t="shared" ref="X169:Y169" si="27">IF( OR( AND(X117 = TRUE, NOT(ISBLANK(X118))), AND(X117 = FALSE, X118 = 0)), 0, 1)</f>
        <v>0</v>
      </c>
      <c r="Y169" s="24">
        <f t="shared" si="27"/>
        <v>0</v>
      </c>
    </row>
    <row r="170" spans="2:27" x14ac:dyDescent="0.25">
      <c r="F170" s="37" t="s">
        <v>238</v>
      </c>
      <c r="G170" s="50" t="s">
        <v>55</v>
      </c>
      <c r="H170" s="75">
        <f>SUM(J170:Y170)</f>
        <v>0</v>
      </c>
      <c r="I170" s="76"/>
      <c r="J170" s="75">
        <f t="shared" ref="J170:K170" si="28">IF( OR( AND(J121 = TRUE, NOT(ISBLANK(J122))), AND(J121 = FALSE, J122 = 0)), 0, 1)</f>
        <v>0</v>
      </c>
      <c r="K170" s="75">
        <f t="shared" si="28"/>
        <v>0</v>
      </c>
      <c r="L170" s="75">
        <f t="shared" ref="L170:M170" si="29">IF( OR( AND(L121 = TRUE, NOT(ISBLANK(L122))), AND(L121 = FALSE, L122 = 0)), 0, 1)</f>
        <v>0</v>
      </c>
      <c r="M170" s="75">
        <f t="shared" si="29"/>
        <v>0</v>
      </c>
      <c r="N170" s="75">
        <f t="shared" ref="N170:P170" si="30">IF( OR( AND(N121 = TRUE, NOT(ISBLANK(N122))), AND(N121 = FALSE, N122 = 0)), 0, 1)</f>
        <v>0</v>
      </c>
      <c r="O170" s="75">
        <f t="shared" si="30"/>
        <v>0</v>
      </c>
      <c r="P170" s="75">
        <f t="shared" si="30"/>
        <v>0</v>
      </c>
      <c r="Q170" s="75">
        <f t="shared" ref="Q170:S170" si="31">IF( OR( AND(Q121 = TRUE, NOT(ISBLANK(Q122))), AND(Q121 = FALSE, Q122 = 0)), 0, 1)</f>
        <v>0</v>
      </c>
      <c r="R170" s="75">
        <f t="shared" si="31"/>
        <v>0</v>
      </c>
      <c r="S170" s="75">
        <f t="shared" si="31"/>
        <v>0</v>
      </c>
      <c r="T170" s="75">
        <f t="shared" ref="T170:U170" si="32">IF( OR( AND(T121 = TRUE, NOT(ISBLANK(T122))), AND(T121 = FALSE, T122 = 0)), 0, 1)</f>
        <v>0</v>
      </c>
      <c r="U170" s="75">
        <f t="shared" si="32"/>
        <v>0</v>
      </c>
      <c r="V170" s="75">
        <f t="shared" ref="V170:W170" si="33">IF( OR( AND(V121 = TRUE, NOT(ISBLANK(V122))), AND(V121 = FALSE, V122 = 0)), 0, 1)</f>
        <v>0</v>
      </c>
      <c r="W170" s="75">
        <f t="shared" si="33"/>
        <v>0</v>
      </c>
      <c r="X170" s="75">
        <f t="shared" ref="X170:Y170" si="34">IF( OR( AND(X121 = TRUE, NOT(ISBLANK(X122))), AND(X121 = FALSE, X122 = 0)), 0, 1)</f>
        <v>0</v>
      </c>
      <c r="Y170" s="75">
        <f t="shared" si="34"/>
        <v>0</v>
      </c>
    </row>
    <row r="171" spans="2:27" x14ac:dyDescent="0.25">
      <c r="F171" s="3"/>
      <c r="G171" s="3"/>
      <c r="H171" s="3"/>
      <c r="I171" s="3"/>
    </row>
    <row r="172" spans="2:27" x14ac:dyDescent="0.25">
      <c r="E172" t="s">
        <v>239</v>
      </c>
      <c r="G172" s="6" t="s">
        <v>55</v>
      </c>
      <c r="H172" s="26">
        <f>H163 + SUM(H166:H170)</f>
        <v>0</v>
      </c>
      <c r="I172" s="3"/>
    </row>
    <row r="173" spans="2:27" x14ac:dyDescent="0.25">
      <c r="I173" s="3"/>
    </row>
    <row r="174" spans="2:27" x14ac:dyDescent="0.25">
      <c r="B174" s="30" t="s">
        <v>106</v>
      </c>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row>
    <row r="175" spans="2:27" x14ac:dyDescent="0.25">
      <c r="F175" s="3"/>
      <c r="G175" s="3"/>
      <c r="H175" s="3"/>
      <c r="I175" s="3"/>
    </row>
    <row r="176" spans="2:27" x14ac:dyDescent="0.25">
      <c r="F176" s="3"/>
      <c r="G176" s="3"/>
      <c r="H176" s="3"/>
      <c r="I176" s="3"/>
    </row>
  </sheetData>
  <sheetProtection sheet="1" objects="1" formatCells="0" formatColumns="0" formatRows="0" sort="0" autoFilter="0"/>
  <conditionalFormatting sqref="H163">
    <cfRule type="cellIs" dxfId="224" priority="31" operator="greaterThan">
      <formula>0</formula>
    </cfRule>
  </conditionalFormatting>
  <conditionalFormatting sqref="H166:H170">
    <cfRule type="cellIs" dxfId="223" priority="29" operator="greaterThan">
      <formula>0</formula>
    </cfRule>
  </conditionalFormatting>
  <conditionalFormatting sqref="H172">
    <cfRule type="cellIs" dxfId="222" priority="26" operator="greaterThan">
      <formula>0</formula>
    </cfRule>
  </conditionalFormatting>
  <conditionalFormatting sqref="A4:I4 Z4:XFD4">
    <cfRule type="expression" dxfId="221" priority="25">
      <formula>LEFT($A$4,1) &lt;&gt; "0"</formula>
    </cfRule>
  </conditionalFormatting>
  <conditionalFormatting sqref="N166:P170">
    <cfRule type="cellIs" dxfId="220" priority="23" operator="greaterThan">
      <formula>0</formula>
    </cfRule>
  </conditionalFormatting>
  <conditionalFormatting sqref="N4:P4">
    <cfRule type="expression" dxfId="219" priority="22">
      <formula>LEFT($A$4,1) &lt;&gt; "0"</formula>
    </cfRule>
  </conditionalFormatting>
  <conditionalFormatting sqref="L166:M170">
    <cfRule type="cellIs" dxfId="218" priority="20" operator="greaterThan">
      <formula>0</formula>
    </cfRule>
  </conditionalFormatting>
  <conditionalFormatting sqref="L4:M4">
    <cfRule type="expression" dxfId="217" priority="19">
      <formula>LEFT($A$4,1) &lt;&gt; "0"</formula>
    </cfRule>
  </conditionalFormatting>
  <conditionalFormatting sqref="J166:K170">
    <cfRule type="cellIs" dxfId="216" priority="17" operator="greaterThan">
      <formula>0</formula>
    </cfRule>
  </conditionalFormatting>
  <conditionalFormatting sqref="J4:K4">
    <cfRule type="expression" dxfId="215" priority="16">
      <formula>LEFT($A$4,1) &lt;&gt; "0"</formula>
    </cfRule>
  </conditionalFormatting>
  <conditionalFormatting sqref="Q166:Q170">
    <cfRule type="cellIs" dxfId="214" priority="14" operator="greaterThan">
      <formula>0</formula>
    </cfRule>
  </conditionalFormatting>
  <conditionalFormatting sqref="Q4">
    <cfRule type="expression" dxfId="213" priority="13">
      <formula>LEFT($A$4,1) &lt;&gt; "0"</formula>
    </cfRule>
  </conditionalFormatting>
  <conditionalFormatting sqref="R166:S170">
    <cfRule type="cellIs" dxfId="212" priority="11" operator="greaterThan">
      <formula>0</formula>
    </cfRule>
  </conditionalFormatting>
  <conditionalFormatting sqref="R4:S4">
    <cfRule type="expression" dxfId="211" priority="10">
      <formula>LEFT($A$4,1) &lt;&gt; "0"</formula>
    </cfRule>
  </conditionalFormatting>
  <conditionalFormatting sqref="T166:U170">
    <cfRule type="cellIs" dxfId="210" priority="8" operator="greaterThan">
      <formula>0</formula>
    </cfRule>
  </conditionalFormatting>
  <conditionalFormatting sqref="T4:U4">
    <cfRule type="expression" dxfId="209" priority="7">
      <formula>LEFT($A$4,1) &lt;&gt; "0"</formula>
    </cfRule>
  </conditionalFormatting>
  <conditionalFormatting sqref="V166:W170">
    <cfRule type="cellIs" dxfId="208" priority="5" operator="greaterThan">
      <formula>0</formula>
    </cfRule>
  </conditionalFormatting>
  <conditionalFormatting sqref="V4:W4">
    <cfRule type="expression" dxfId="207" priority="4">
      <formula>LEFT($A$4,1) &lt;&gt; "0"</formula>
    </cfRule>
  </conditionalFormatting>
  <conditionalFormatting sqref="X166:Y170">
    <cfRule type="cellIs" dxfId="206" priority="2" operator="greaterThan">
      <formula>0</formula>
    </cfRule>
  </conditionalFormatting>
  <conditionalFormatting sqref="X4:Y4">
    <cfRule type="expression" dxfId="205" priority="1">
      <formula>LEFT($A$4,1) &lt;&gt; "0"</formula>
    </cfRule>
  </conditionalFormatting>
  <dataValidations count="10">
    <dataValidation type="whole" allowBlank="1" showInputMessage="1" showErrorMessage="1" sqref="H25:H31" xr:uid="{00000000-0002-0000-0500-000000000000}">
      <formula1>0</formula1>
      <formula2>3</formula2>
    </dataValidation>
    <dataValidation type="decimal" allowBlank="1" showInputMessage="1" showErrorMessage="1" sqref="H39 K145 M145:Y145 J88:Y97 J106:Y106 J110:Y110 J114:Y114 J118:Y118 J122:Y122 N149:Y149" xr:uid="{00000000-0002-0000-0500-000001000000}">
      <formula1>0</formula1>
      <formula2>1</formula2>
    </dataValidation>
    <dataValidation type="whole" allowBlank="1" showInputMessage="1" showErrorMessage="1" sqref="L145 J145 J149:M149" xr:uid="{00000000-0002-0000-0500-000002000000}">
      <formula1>0</formula1>
      <formula2>33</formula2>
    </dataValidation>
    <dataValidation type="decimal" allowBlank="1" showInputMessage="1" showErrorMessage="1" sqref="H35" xr:uid="{00000000-0002-0000-0500-000003000000}">
      <formula1>0</formula1>
      <formula2>999999</formula2>
    </dataValidation>
    <dataValidation type="decimal" allowBlank="1" showInputMessage="1" showErrorMessage="1" sqref="H37" xr:uid="{00000000-0002-0000-0500-000004000000}">
      <formula1>0.001</formula1>
      <formula2>1</formula2>
    </dataValidation>
    <dataValidation type="decimal" allowBlank="1" showInputMessage="1" showErrorMessage="1" sqref="H41" xr:uid="{00000000-0002-0000-0500-000005000000}">
      <formula1>0.001</formula1>
      <formula2>999999.999</formula2>
    </dataValidation>
    <dataValidation type="whole" allowBlank="1" showInputMessage="1" showErrorMessage="1" sqref="H15:H18" xr:uid="{00000000-0002-0000-0500-000006000000}">
      <formula1>0</formula1>
      <formula2>9999</formula2>
    </dataValidation>
    <dataValidation type="whole" allowBlank="1" showInputMessage="1" showErrorMessage="1" sqref="J53:Y56 J46:Y49" xr:uid="{00000000-0002-0000-0500-000007000000}">
      <formula1>0</formula1>
      <formula2>1</formula2>
    </dataValidation>
    <dataValidation type="whole" allowBlank="1" showInputMessage="1" showErrorMessage="1" sqref="J73:Y82 J60:Y69" xr:uid="{00000000-0002-0000-0500-000008000000}">
      <formula1>-1</formula1>
      <formula2>1</formula2>
    </dataValidation>
    <dataValidation type="list" allowBlank="1" showInputMessage="1" showErrorMessage="1" sqref="J131:Y131 J105:Y105 J109:Y109 J113:Y113 J117:Y117 J121:Y121 J127:Y127" xr:uid="{00000000-0002-0000-0500-000009000000}">
      <formula1>"TRUE, FALSE"</formula1>
    </dataValidation>
  </dataValidations>
  <hyperlinks>
    <hyperlink ref="B5:F5" location="'Model map'!A1" display="Click here to return to model map"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tabColor theme="5" tint="0.59999389629810485"/>
    <pageSetUpPr fitToPage="1"/>
  </sheetPr>
  <dimension ref="A1:KH86"/>
  <sheetViews>
    <sheetView showGridLines="0" zoomScale="80" zoomScaleNormal="80" workbookViewId="0">
      <pane xSplit="9" ySplit="5" topLeftCell="J6" activePane="bottomRight" state="frozen"/>
      <selection pane="topRight"/>
      <selection pane="bottomLeft"/>
      <selection pane="bottomRight" activeCell="J9" sqref="J9"/>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4" width="20.5703125" hidden="1" customWidth="1"/>
    <col min="295" max="16384" width="9.28515625" hidden="1"/>
  </cols>
  <sheetData>
    <row r="1" spans="1:27" s="1" customFormat="1" x14ac:dyDescent="0.25">
      <c r="A1" s="1" t="str">
        <f ca="1">MID(CELL("filename",A1),FIND("]",CELL("filename",A1))+1,255)</f>
        <v>Inputs by customer type</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H84 &amp; IF(H84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310" t="s">
        <v>143</v>
      </c>
      <c r="H5" s="311" t="s">
        <v>144</v>
      </c>
      <c r="I5" s="14"/>
      <c r="J5" s="311" t="s">
        <v>940</v>
      </c>
      <c r="K5" s="311" t="s">
        <v>942</v>
      </c>
      <c r="L5" s="311" t="s">
        <v>941</v>
      </c>
      <c r="M5" s="311" t="s">
        <v>943</v>
      </c>
      <c r="N5" s="311" t="s">
        <v>949</v>
      </c>
      <c r="O5" s="311" t="s">
        <v>950</v>
      </c>
      <c r="P5" s="311" t="s">
        <v>951</v>
      </c>
      <c r="Q5" s="311" t="s">
        <v>952</v>
      </c>
      <c r="R5" s="311" t="s">
        <v>944</v>
      </c>
      <c r="S5" s="311" t="s">
        <v>945</v>
      </c>
      <c r="T5" s="311" t="s">
        <v>946</v>
      </c>
      <c r="U5" s="311" t="s">
        <v>955</v>
      </c>
      <c r="V5" s="311" t="s">
        <v>947</v>
      </c>
      <c r="W5" s="311" t="s">
        <v>954</v>
      </c>
      <c r="X5" s="311" t="s">
        <v>948</v>
      </c>
      <c r="Y5" s="311"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240</v>
      </c>
    </row>
    <row r="11" spans="1:27" x14ac:dyDescent="0.25">
      <c r="B11" s="30" t="s">
        <v>56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2" spans="1:27" x14ac:dyDescent="0.25">
      <c r="D12" s="28"/>
    </row>
    <row r="13" spans="1:27" x14ac:dyDescent="0.25">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row>
    <row r="15" spans="1:27" x14ac:dyDescent="0.25">
      <c r="E15" s="28" t="s">
        <v>241</v>
      </c>
      <c r="G15" s="13" t="s">
        <v>167</v>
      </c>
      <c r="I15" t="s">
        <v>154</v>
      </c>
      <c r="J15" s="256">
        <v>0.43432307672087345</v>
      </c>
      <c r="K15" s="256">
        <v>0.18951942115043272</v>
      </c>
      <c r="L15" s="256">
        <v>0.43270423944455622</v>
      </c>
      <c r="M15" s="256">
        <v>0.21748502917939075</v>
      </c>
      <c r="N15" s="256">
        <v>0.56987657688656024</v>
      </c>
      <c r="O15" s="256">
        <v>0.72085080315425287</v>
      </c>
      <c r="P15" s="256">
        <v>0.69256761043616277</v>
      </c>
      <c r="Q15" s="256">
        <v>0.48242330362199853</v>
      </c>
      <c r="R15" s="70"/>
      <c r="S15" s="70"/>
      <c r="T15" s="70"/>
      <c r="U15" s="70"/>
      <c r="V15" s="70"/>
      <c r="W15" s="70"/>
      <c r="X15" s="70"/>
      <c r="Y15" s="70"/>
      <c r="AA15" t="s">
        <v>242</v>
      </c>
    </row>
    <row r="16" spans="1:27" x14ac:dyDescent="0.25">
      <c r="E16" s="28" t="s">
        <v>243</v>
      </c>
      <c r="G16" s="13" t="s">
        <v>167</v>
      </c>
      <c r="I16" t="s">
        <v>154</v>
      </c>
      <c r="J16" s="256">
        <v>0.83240291023859581</v>
      </c>
      <c r="K16" s="70"/>
      <c r="L16" s="256">
        <v>0.73280423580923149</v>
      </c>
      <c r="M16" s="70"/>
      <c r="N16" s="256">
        <v>0.8069098514633426</v>
      </c>
      <c r="O16" s="256">
        <v>0.81068748749169472</v>
      </c>
      <c r="P16" s="256">
        <v>0.82093800267353068</v>
      </c>
      <c r="Q16" s="256">
        <v>0.84222288633177023</v>
      </c>
      <c r="R16" s="70"/>
      <c r="S16" s="70"/>
      <c r="T16" s="70"/>
      <c r="U16" s="70"/>
      <c r="V16" s="70"/>
      <c r="W16" s="70"/>
      <c r="X16" s="70"/>
      <c r="Y16" s="70"/>
      <c r="AA16" t="s">
        <v>244</v>
      </c>
    </row>
    <row r="17" spans="3:27" x14ac:dyDescent="0.25">
      <c r="G17" s="13"/>
    </row>
    <row r="18" spans="3:27" x14ac:dyDescent="0.25">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row>
    <row r="19" spans="3:27" x14ac:dyDescent="0.25">
      <c r="G19" s="13"/>
    </row>
    <row r="20" spans="3:27" x14ac:dyDescent="0.25">
      <c r="E20" s="32" t="s">
        <v>245</v>
      </c>
      <c r="G20" s="13"/>
      <c r="I20" t="s">
        <v>154</v>
      </c>
      <c r="AA20" t="s">
        <v>246</v>
      </c>
    </row>
    <row r="21" spans="3:27" x14ac:dyDescent="0.25">
      <c r="E21" s="32"/>
      <c r="F21" s="78" t="s">
        <v>247</v>
      </c>
      <c r="G21" s="78" t="s">
        <v>207</v>
      </c>
      <c r="H21" s="23"/>
      <c r="I21" s="23"/>
      <c r="J21" s="257">
        <v>309997.02287506516</v>
      </c>
      <c r="K21" s="257">
        <v>8828.0434583187307</v>
      </c>
      <c r="L21" s="257">
        <v>102332.91509778659</v>
      </c>
      <c r="M21" s="257">
        <v>3073.5191857693171</v>
      </c>
      <c r="N21" s="257">
        <v>139476.11483398668</v>
      </c>
      <c r="O21" s="257">
        <v>11182.587736095871</v>
      </c>
      <c r="P21" s="257">
        <v>74688.838437210608</v>
      </c>
      <c r="Q21" s="257">
        <v>4332.2875548967631</v>
      </c>
      <c r="R21" s="257">
        <v>658.01792802705074</v>
      </c>
      <c r="S21" s="257">
        <v>0.40800000000000008</v>
      </c>
      <c r="T21" s="257">
        <v>34142.676188495534</v>
      </c>
      <c r="U21" s="257">
        <v>0</v>
      </c>
      <c r="V21" s="257">
        <v>353.5321999999997</v>
      </c>
      <c r="W21" s="257">
        <v>0</v>
      </c>
      <c r="X21" s="257">
        <v>152551.54503003714</v>
      </c>
      <c r="Y21" s="257">
        <v>0</v>
      </c>
    </row>
    <row r="22" spans="3:27" x14ac:dyDescent="0.25">
      <c r="E22" s="32"/>
      <c r="F22" s="72" t="s">
        <v>248</v>
      </c>
      <c r="G22" s="72" t="s">
        <v>207</v>
      </c>
      <c r="J22" s="258">
        <v>1214956.6019730598</v>
      </c>
      <c r="K22" s="258">
        <v>150887.96998237175</v>
      </c>
      <c r="L22" s="258">
        <v>545010.23369156569</v>
      </c>
      <c r="M22" s="258">
        <v>14352.322991058796</v>
      </c>
      <c r="N22" s="258">
        <v>738250.90644067922</v>
      </c>
      <c r="O22" s="258">
        <v>57946.422351348258</v>
      </c>
      <c r="P22" s="258">
        <v>375961.51333753037</v>
      </c>
      <c r="Q22" s="259">
        <v>30364.217494593478</v>
      </c>
      <c r="R22" s="259">
        <v>3421.5412500488133</v>
      </c>
      <c r="S22" s="259">
        <v>1.9430000000000009</v>
      </c>
      <c r="T22" s="258">
        <v>178906.97316231087</v>
      </c>
      <c r="U22" s="258">
        <v>0</v>
      </c>
      <c r="V22" s="258">
        <v>1533.9735999999987</v>
      </c>
      <c r="W22" s="258">
        <v>0</v>
      </c>
      <c r="X22" s="258">
        <v>747480.09120044974</v>
      </c>
      <c r="Y22" s="258">
        <v>0</v>
      </c>
    </row>
    <row r="23" spans="3:27" x14ac:dyDescent="0.25">
      <c r="E23" s="32"/>
      <c r="F23" s="72" t="s">
        <v>249</v>
      </c>
      <c r="G23" s="72" t="s">
        <v>207</v>
      </c>
      <c r="J23" s="258">
        <v>1071688.9301754655</v>
      </c>
      <c r="K23" s="258">
        <v>223429.42078208068</v>
      </c>
      <c r="L23" s="258">
        <v>367015.1363333576</v>
      </c>
      <c r="M23" s="258">
        <v>17378.187088510807</v>
      </c>
      <c r="N23" s="258">
        <v>553797.70392978238</v>
      </c>
      <c r="O23" s="258">
        <v>53966.451241134222</v>
      </c>
      <c r="P23" s="258">
        <v>347700.43816265365</v>
      </c>
      <c r="Q23" s="259">
        <v>58608.219211648095</v>
      </c>
      <c r="R23" s="259">
        <v>1824.0799299361463</v>
      </c>
      <c r="S23" s="259">
        <v>1.1440000000000006</v>
      </c>
      <c r="T23" s="258">
        <v>194968.53407257851</v>
      </c>
      <c r="U23" s="258">
        <v>0</v>
      </c>
      <c r="V23" s="258">
        <v>1544.822899999999</v>
      </c>
      <c r="W23" s="258">
        <v>0</v>
      </c>
      <c r="X23" s="258">
        <v>790777.23541179951</v>
      </c>
      <c r="Y23" s="258">
        <v>0</v>
      </c>
    </row>
    <row r="24" spans="3:27" x14ac:dyDescent="0.25">
      <c r="E24" s="32"/>
      <c r="F24" s="72" t="s">
        <v>212</v>
      </c>
      <c r="G24" s="72" t="s">
        <v>212</v>
      </c>
      <c r="J24" s="258">
        <v>708967.48387096729</v>
      </c>
      <c r="K24" s="258">
        <v>70461.662878625808</v>
      </c>
      <c r="L24" s="258">
        <v>73636.601523262332</v>
      </c>
      <c r="M24" s="258">
        <v>2784.9059115721761</v>
      </c>
      <c r="N24" s="258">
        <v>6682.1760353565578</v>
      </c>
      <c r="O24" s="258">
        <v>111.16114041670782</v>
      </c>
      <c r="P24" s="258">
        <v>692.54803916203412</v>
      </c>
      <c r="Q24" s="258">
        <v>2081.619285024251</v>
      </c>
      <c r="R24" s="258">
        <v>351.61290322580641</v>
      </c>
      <c r="S24" s="258">
        <v>1</v>
      </c>
      <c r="T24" s="258">
        <v>775.9677419354847</v>
      </c>
      <c r="U24" s="258">
        <v>0</v>
      </c>
      <c r="V24" s="258">
        <v>1.9999999999999989</v>
      </c>
      <c r="W24" s="258">
        <v>0</v>
      </c>
      <c r="X24" s="258">
        <v>355.55640880208517</v>
      </c>
      <c r="Y24" s="258">
        <v>0</v>
      </c>
    </row>
    <row r="25" spans="3:27" x14ac:dyDescent="0.25">
      <c r="E25" s="32"/>
      <c r="F25" s="72" t="s">
        <v>250</v>
      </c>
      <c r="G25" s="72" t="s">
        <v>251</v>
      </c>
      <c r="J25" s="79"/>
      <c r="K25" s="79"/>
      <c r="L25" s="79"/>
      <c r="M25" s="79"/>
      <c r="N25" s="258">
        <v>869075.23235095805</v>
      </c>
      <c r="O25" s="258">
        <v>33657.26799093507</v>
      </c>
      <c r="P25" s="258">
        <v>396885.86689826992</v>
      </c>
      <c r="Q25" s="79"/>
      <c r="R25" s="79"/>
      <c r="S25" s="79"/>
      <c r="T25" s="79"/>
      <c r="U25" s="79"/>
      <c r="V25" s="79"/>
      <c r="W25" s="79"/>
      <c r="X25" s="79"/>
      <c r="Y25" s="79"/>
    </row>
    <row r="26" spans="3:27" x14ac:dyDescent="0.25">
      <c r="E26" s="32"/>
      <c r="F26" s="72" t="s">
        <v>252</v>
      </c>
      <c r="G26" s="72" t="s">
        <v>251</v>
      </c>
      <c r="J26" s="79"/>
      <c r="K26" s="79"/>
      <c r="L26" s="79"/>
      <c r="M26" s="79"/>
      <c r="N26" s="258">
        <v>20017.923579185579</v>
      </c>
      <c r="O26" s="258">
        <v>1172.4448121461803</v>
      </c>
      <c r="P26" s="258">
        <v>8108.4019897747849</v>
      </c>
      <c r="Q26" s="79"/>
      <c r="R26" s="79"/>
      <c r="S26" s="79"/>
      <c r="T26" s="79"/>
      <c r="U26" s="79"/>
      <c r="V26" s="79"/>
      <c r="W26" s="79"/>
      <c r="X26" s="79"/>
      <c r="Y26" s="79"/>
    </row>
    <row r="27" spans="3:27" x14ac:dyDescent="0.25">
      <c r="E27" s="32"/>
      <c r="F27" s="80" t="s">
        <v>253</v>
      </c>
      <c r="G27" s="80" t="s">
        <v>254</v>
      </c>
      <c r="H27" s="37"/>
      <c r="I27" s="37"/>
      <c r="J27" s="81"/>
      <c r="K27" s="81"/>
      <c r="L27" s="81"/>
      <c r="M27" s="81"/>
      <c r="N27" s="260">
        <v>190596.87416383639</v>
      </c>
      <c r="O27" s="260">
        <v>9906.6253977300548</v>
      </c>
      <c r="P27" s="260">
        <v>127476.83918254296</v>
      </c>
      <c r="Q27" s="81"/>
      <c r="R27" s="81"/>
      <c r="S27" s="81"/>
      <c r="T27" s="260">
        <v>25700.51612427906</v>
      </c>
      <c r="U27" s="81"/>
      <c r="V27" s="260">
        <v>0</v>
      </c>
      <c r="W27" s="81"/>
      <c r="X27" s="260">
        <v>41127.35854688855</v>
      </c>
      <c r="Y27" s="81"/>
    </row>
    <row r="28" spans="3:27" s="264" customFormat="1" x14ac:dyDescent="0.25">
      <c r="E28" s="265"/>
      <c r="F28" s="239"/>
      <c r="G28" s="239"/>
      <c r="J28" s="266"/>
      <c r="K28" s="266"/>
      <c r="L28" s="266"/>
      <c r="M28" s="266"/>
      <c r="N28" s="267"/>
      <c r="O28" s="267"/>
      <c r="P28" s="267"/>
      <c r="Q28" s="266"/>
      <c r="R28" s="266"/>
      <c r="S28" s="266"/>
      <c r="T28" s="267"/>
      <c r="U28" s="266"/>
      <c r="V28" s="267"/>
      <c r="W28" s="266"/>
      <c r="X28" s="267"/>
      <c r="Y28" s="266"/>
    </row>
    <row r="29" spans="3:27" x14ac:dyDescent="0.25">
      <c r="E29" s="32" t="s">
        <v>255</v>
      </c>
      <c r="G29" s="80"/>
      <c r="H29" s="37"/>
      <c r="I29" t="s">
        <v>154</v>
      </c>
      <c r="J29" s="82"/>
      <c r="K29" s="82"/>
      <c r="L29" s="82"/>
      <c r="M29" s="82"/>
      <c r="N29" s="82"/>
      <c r="O29" s="82"/>
      <c r="P29" s="82"/>
      <c r="Q29" s="82"/>
      <c r="R29" s="82"/>
      <c r="S29" s="82"/>
      <c r="T29" s="82"/>
      <c r="U29" s="82"/>
      <c r="V29" s="82"/>
      <c r="W29" s="82"/>
      <c r="X29" s="82"/>
      <c r="Y29" s="82"/>
      <c r="AA29" t="s">
        <v>246</v>
      </c>
    </row>
    <row r="30" spans="3:27" x14ac:dyDescent="0.25">
      <c r="E30" s="32"/>
      <c r="F30" s="78" t="s">
        <v>247</v>
      </c>
      <c r="G30" s="72" t="s">
        <v>207</v>
      </c>
      <c r="I30" s="23"/>
      <c r="J30" s="257">
        <v>1134.6884748639145</v>
      </c>
      <c r="K30" s="257">
        <v>0</v>
      </c>
      <c r="L30" s="257">
        <v>13.120369177449744</v>
      </c>
      <c r="M30" s="257">
        <v>0</v>
      </c>
      <c r="N30" s="257">
        <v>184.6408725442231</v>
      </c>
      <c r="O30" s="83"/>
      <c r="P30" s="83"/>
      <c r="Q30" s="257">
        <v>24.920960167100297</v>
      </c>
      <c r="R30" s="257">
        <v>0</v>
      </c>
      <c r="S30" s="83"/>
      <c r="T30" s="257">
        <v>0</v>
      </c>
      <c r="U30" s="83"/>
      <c r="V30" s="83"/>
      <c r="W30" s="83"/>
      <c r="X30" s="83"/>
      <c r="Y30" s="83"/>
    </row>
    <row r="31" spans="3:27" x14ac:dyDescent="0.25">
      <c r="E31" s="32"/>
      <c r="F31" s="72" t="s">
        <v>248</v>
      </c>
      <c r="G31" s="72" t="s">
        <v>207</v>
      </c>
      <c r="J31" s="258">
        <v>4374.0340341828778</v>
      </c>
      <c r="K31" s="258">
        <v>0</v>
      </c>
      <c r="L31" s="258">
        <v>81.677936494785726</v>
      </c>
      <c r="M31" s="258">
        <v>0</v>
      </c>
      <c r="N31" s="258">
        <v>646.46439544729776</v>
      </c>
      <c r="O31" s="79"/>
      <c r="P31" s="79"/>
      <c r="Q31" s="259">
        <v>140.08340266230587</v>
      </c>
      <c r="R31" s="259">
        <v>0</v>
      </c>
      <c r="S31" s="79"/>
      <c r="T31" s="258">
        <v>0</v>
      </c>
      <c r="U31" s="79"/>
      <c r="V31" s="79"/>
      <c r="W31" s="79"/>
      <c r="X31" s="79"/>
      <c r="Y31" s="79"/>
    </row>
    <row r="32" spans="3:27" x14ac:dyDescent="0.25">
      <c r="E32" s="32"/>
      <c r="F32" s="72" t="s">
        <v>249</v>
      </c>
      <c r="G32" s="72" t="s">
        <v>207</v>
      </c>
      <c r="J32" s="258">
        <v>3427.9630515891258</v>
      </c>
      <c r="K32" s="258">
        <v>0</v>
      </c>
      <c r="L32" s="258">
        <v>37.397401637813815</v>
      </c>
      <c r="M32" s="258">
        <v>0</v>
      </c>
      <c r="N32" s="258">
        <v>404.99023875658321</v>
      </c>
      <c r="O32" s="79"/>
      <c r="P32" s="79"/>
      <c r="Q32" s="259">
        <v>47.240033668949899</v>
      </c>
      <c r="R32" s="259">
        <v>0</v>
      </c>
      <c r="S32" s="79"/>
      <c r="T32" s="258">
        <v>0</v>
      </c>
      <c r="U32" s="79"/>
      <c r="V32" s="79"/>
      <c r="W32" s="79"/>
      <c r="X32" s="79"/>
      <c r="Y32" s="79"/>
    </row>
    <row r="33" spans="5:27" x14ac:dyDescent="0.25">
      <c r="E33" s="32"/>
      <c r="F33" s="72" t="s">
        <v>212</v>
      </c>
      <c r="G33" s="72" t="s">
        <v>212</v>
      </c>
      <c r="J33" s="258">
        <v>3276.983870967742</v>
      </c>
      <c r="K33" s="258">
        <v>0</v>
      </c>
      <c r="L33" s="258">
        <v>17</v>
      </c>
      <c r="M33" s="258">
        <v>0</v>
      </c>
      <c r="N33" s="258">
        <v>10</v>
      </c>
      <c r="O33" s="79"/>
      <c r="P33" s="79"/>
      <c r="Q33" s="258">
        <v>2</v>
      </c>
      <c r="R33" s="258">
        <v>0</v>
      </c>
      <c r="S33" s="79"/>
      <c r="T33" s="258">
        <v>0</v>
      </c>
      <c r="U33" s="79"/>
      <c r="V33" s="79"/>
      <c r="W33" s="79"/>
      <c r="X33" s="79"/>
      <c r="Y33" s="79"/>
    </row>
    <row r="34" spans="5:27" x14ac:dyDescent="0.25">
      <c r="E34" s="32"/>
      <c r="F34" s="72" t="s">
        <v>250</v>
      </c>
      <c r="G34" s="72" t="s">
        <v>251</v>
      </c>
      <c r="J34" s="79"/>
      <c r="K34" s="79"/>
      <c r="L34" s="79"/>
      <c r="M34" s="79"/>
      <c r="N34" s="258">
        <v>2282</v>
      </c>
      <c r="O34" s="79"/>
      <c r="P34" s="79"/>
      <c r="Q34" s="79"/>
      <c r="R34" s="79"/>
      <c r="S34" s="79"/>
      <c r="T34" s="79"/>
      <c r="U34" s="79"/>
      <c r="V34" s="79"/>
      <c r="W34" s="79"/>
      <c r="X34" s="79"/>
      <c r="Y34" s="79"/>
    </row>
    <row r="35" spans="5:27" x14ac:dyDescent="0.25">
      <c r="E35" s="32"/>
      <c r="F35" s="72" t="s">
        <v>252</v>
      </c>
      <c r="G35" s="72" t="s">
        <v>251</v>
      </c>
      <c r="J35" s="79"/>
      <c r="K35" s="79"/>
      <c r="L35" s="79"/>
      <c r="M35" s="79"/>
      <c r="N35" s="258">
        <v>0</v>
      </c>
      <c r="O35" s="79"/>
      <c r="P35" s="79"/>
      <c r="Q35" s="79"/>
      <c r="R35" s="79"/>
      <c r="S35" s="79"/>
      <c r="T35" s="79"/>
      <c r="U35" s="79"/>
      <c r="V35" s="79"/>
      <c r="W35" s="79"/>
      <c r="X35" s="79"/>
      <c r="Y35" s="79"/>
    </row>
    <row r="36" spans="5:27" x14ac:dyDescent="0.25">
      <c r="E36" s="32"/>
      <c r="F36" s="80" t="s">
        <v>253</v>
      </c>
      <c r="G36" s="80" t="s">
        <v>254</v>
      </c>
      <c r="H36" s="37"/>
      <c r="I36" s="37"/>
      <c r="J36" s="81"/>
      <c r="K36" s="81"/>
      <c r="L36" s="81"/>
      <c r="M36" s="81"/>
      <c r="N36" s="260">
        <v>65.53048804346291</v>
      </c>
      <c r="O36" s="81"/>
      <c r="P36" s="81"/>
      <c r="Q36" s="81"/>
      <c r="R36" s="81"/>
      <c r="S36" s="81"/>
      <c r="T36" s="260">
        <v>0</v>
      </c>
      <c r="U36" s="81"/>
      <c r="V36" s="81"/>
      <c r="W36" s="81"/>
      <c r="X36" s="81"/>
      <c r="Y36" s="81"/>
    </row>
    <row r="37" spans="5:27" s="264" customFormat="1" x14ac:dyDescent="0.25">
      <c r="E37" s="265"/>
      <c r="F37" s="239"/>
      <c r="G37" s="239"/>
      <c r="J37" s="266"/>
      <c r="K37" s="266"/>
      <c r="L37" s="266"/>
      <c r="M37" s="266"/>
      <c r="N37" s="267"/>
      <c r="O37" s="266"/>
      <c r="P37" s="266"/>
      <c r="Q37" s="266"/>
      <c r="R37" s="266"/>
      <c r="S37" s="266"/>
      <c r="T37" s="267"/>
      <c r="U37" s="266"/>
      <c r="V37" s="266"/>
      <c r="W37" s="266"/>
      <c r="X37" s="266"/>
      <c r="Y37" s="266"/>
    </row>
    <row r="38" spans="5:27" x14ac:dyDescent="0.25">
      <c r="E38" s="32" t="s">
        <v>256</v>
      </c>
      <c r="G38" s="80"/>
      <c r="H38" s="37"/>
      <c r="I38" t="s">
        <v>154</v>
      </c>
      <c r="J38" s="82"/>
      <c r="K38" s="82"/>
      <c r="L38" s="82"/>
      <c r="M38" s="82"/>
      <c r="N38" s="82"/>
      <c r="O38" s="82"/>
      <c r="P38" s="82"/>
      <c r="Q38" s="82"/>
      <c r="R38" s="82"/>
      <c r="S38" s="82"/>
      <c r="T38" s="82"/>
      <c r="U38" s="82"/>
      <c r="V38" s="82"/>
      <c r="W38" s="82"/>
      <c r="X38" s="82"/>
      <c r="Y38" s="82"/>
      <c r="AA38" t="s">
        <v>246</v>
      </c>
    </row>
    <row r="39" spans="5:27" x14ac:dyDescent="0.25">
      <c r="F39" s="78" t="s">
        <v>247</v>
      </c>
      <c r="G39" s="72" t="s">
        <v>207</v>
      </c>
      <c r="I39" s="23"/>
      <c r="J39" s="257">
        <v>2290.2312536012701</v>
      </c>
      <c r="K39" s="257">
        <v>0</v>
      </c>
      <c r="L39" s="257">
        <v>80.922738692857905</v>
      </c>
      <c r="M39" s="257">
        <v>0</v>
      </c>
      <c r="N39" s="257">
        <v>444.1232745299136</v>
      </c>
      <c r="O39" s="257">
        <v>36.394848638932153</v>
      </c>
      <c r="P39" s="257">
        <v>7.6924148326244985</v>
      </c>
      <c r="Q39" s="257">
        <v>0</v>
      </c>
      <c r="R39" s="257">
        <v>0</v>
      </c>
      <c r="S39" s="257">
        <v>0</v>
      </c>
      <c r="T39" s="257">
        <v>0</v>
      </c>
      <c r="U39" s="83"/>
      <c r="V39" s="257">
        <v>0</v>
      </c>
      <c r="W39" s="83"/>
      <c r="X39" s="257">
        <v>0</v>
      </c>
      <c r="Y39" s="83"/>
    </row>
    <row r="40" spans="5:27" x14ac:dyDescent="0.25">
      <c r="F40" s="72" t="s">
        <v>248</v>
      </c>
      <c r="G40" s="72" t="s">
        <v>207</v>
      </c>
      <c r="J40" s="258">
        <v>8881.2156268222807</v>
      </c>
      <c r="K40" s="258">
        <v>0</v>
      </c>
      <c r="L40" s="258">
        <v>429.10881144774578</v>
      </c>
      <c r="M40" s="258">
        <v>0</v>
      </c>
      <c r="N40" s="258">
        <v>3743.1895956959197</v>
      </c>
      <c r="O40" s="258">
        <v>148.20767438633607</v>
      </c>
      <c r="P40" s="258">
        <v>32.192922169513778</v>
      </c>
      <c r="Q40" s="259">
        <v>1.118229252538987</v>
      </c>
      <c r="R40" s="259">
        <v>0</v>
      </c>
      <c r="S40" s="259">
        <v>0</v>
      </c>
      <c r="T40" s="258">
        <v>0</v>
      </c>
      <c r="U40" s="79"/>
      <c r="V40" s="258">
        <v>0</v>
      </c>
      <c r="W40" s="79"/>
      <c r="X40" s="258">
        <v>0</v>
      </c>
      <c r="Y40" s="79"/>
    </row>
    <row r="41" spans="5:27" x14ac:dyDescent="0.25">
      <c r="F41" s="72" t="s">
        <v>249</v>
      </c>
      <c r="G41" s="72" t="s">
        <v>207</v>
      </c>
      <c r="J41" s="258">
        <v>6798.3989147120128</v>
      </c>
      <c r="K41" s="258">
        <v>0</v>
      </c>
      <c r="L41" s="258">
        <v>234.93453349318671</v>
      </c>
      <c r="M41" s="258">
        <v>0</v>
      </c>
      <c r="N41" s="258">
        <v>2943.9096405144574</v>
      </c>
      <c r="O41" s="258">
        <v>158.1788854978677</v>
      </c>
      <c r="P41" s="258">
        <v>24.384317121258984</v>
      </c>
      <c r="Q41" s="259">
        <v>0.54194045686189796</v>
      </c>
      <c r="R41" s="259">
        <v>0</v>
      </c>
      <c r="S41" s="259">
        <v>0</v>
      </c>
      <c r="T41" s="258">
        <v>0</v>
      </c>
      <c r="U41" s="79"/>
      <c r="V41" s="258">
        <v>0</v>
      </c>
      <c r="W41" s="79"/>
      <c r="X41" s="258">
        <v>0</v>
      </c>
      <c r="Y41" s="79"/>
    </row>
    <row r="42" spans="5:27" x14ac:dyDescent="0.25">
      <c r="F42" s="72" t="s">
        <v>212</v>
      </c>
      <c r="G42" s="72" t="s">
        <v>212</v>
      </c>
      <c r="J42" s="258">
        <v>6568.8297368601634</v>
      </c>
      <c r="K42" s="258">
        <v>0</v>
      </c>
      <c r="L42" s="258">
        <v>69.01157219334236</v>
      </c>
      <c r="M42" s="258">
        <v>0</v>
      </c>
      <c r="N42" s="258">
        <v>8.5292258765480078</v>
      </c>
      <c r="O42" s="258">
        <v>1</v>
      </c>
      <c r="P42" s="258">
        <v>1</v>
      </c>
      <c r="Q42" s="258">
        <v>4</v>
      </c>
      <c r="R42" s="258">
        <v>0</v>
      </c>
      <c r="S42" s="258">
        <v>0</v>
      </c>
      <c r="T42" s="258">
        <v>0</v>
      </c>
      <c r="U42" s="79"/>
      <c r="V42" s="258">
        <v>0</v>
      </c>
      <c r="W42" s="79"/>
      <c r="X42" s="258">
        <v>0</v>
      </c>
      <c r="Y42" s="79"/>
    </row>
    <row r="43" spans="5:27" x14ac:dyDescent="0.25">
      <c r="F43" s="72" t="s">
        <v>250</v>
      </c>
      <c r="G43" s="72" t="s">
        <v>251</v>
      </c>
      <c r="J43" s="79"/>
      <c r="K43" s="79"/>
      <c r="L43" s="79"/>
      <c r="M43" s="79"/>
      <c r="N43" s="258">
        <v>3751.2370753763826</v>
      </c>
      <c r="O43" s="258">
        <v>559.00000000000011</v>
      </c>
      <c r="P43" s="258">
        <v>17750</v>
      </c>
      <c r="Q43" s="79"/>
      <c r="R43" s="79"/>
      <c r="S43" s="79"/>
      <c r="T43" s="79"/>
      <c r="U43" s="79"/>
      <c r="V43" s="79"/>
      <c r="W43" s="79"/>
      <c r="X43" s="79"/>
      <c r="Y43" s="79"/>
    </row>
    <row r="44" spans="5:27" x14ac:dyDescent="0.25">
      <c r="F44" s="72" t="s">
        <v>252</v>
      </c>
      <c r="G44" s="72" t="s">
        <v>251</v>
      </c>
      <c r="J44" s="79"/>
      <c r="K44" s="79"/>
      <c r="L44" s="79"/>
      <c r="M44" s="79"/>
      <c r="N44" s="258">
        <v>1123.7764999496744</v>
      </c>
      <c r="O44" s="258">
        <v>0</v>
      </c>
      <c r="P44" s="258">
        <v>0</v>
      </c>
      <c r="Q44" s="79"/>
      <c r="R44" s="79"/>
      <c r="S44" s="79"/>
      <c r="T44" s="79"/>
      <c r="U44" s="79"/>
      <c r="V44" s="79"/>
      <c r="W44" s="79"/>
      <c r="X44" s="79"/>
      <c r="Y44" s="79"/>
    </row>
    <row r="45" spans="5:27" x14ac:dyDescent="0.25">
      <c r="F45" s="80" t="s">
        <v>253</v>
      </c>
      <c r="G45" s="80" t="s">
        <v>254</v>
      </c>
      <c r="H45" s="37"/>
      <c r="I45" s="37"/>
      <c r="J45" s="81"/>
      <c r="K45" s="81"/>
      <c r="L45" s="81"/>
      <c r="M45" s="81"/>
      <c r="N45" s="260">
        <v>798.94366109416035</v>
      </c>
      <c r="O45" s="260">
        <v>0</v>
      </c>
      <c r="P45" s="260">
        <v>0</v>
      </c>
      <c r="Q45" s="81"/>
      <c r="R45" s="81"/>
      <c r="S45" s="81"/>
      <c r="T45" s="260">
        <v>0</v>
      </c>
      <c r="U45" s="81"/>
      <c r="V45" s="260">
        <v>0</v>
      </c>
      <c r="W45" s="81"/>
      <c r="X45" s="260">
        <v>0</v>
      </c>
      <c r="Y45" s="81"/>
    </row>
    <row r="46" spans="5:27" x14ac:dyDescent="0.25">
      <c r="G46" s="13"/>
    </row>
    <row r="47" spans="5:27" x14ac:dyDescent="0.25">
      <c r="E47" s="32" t="s">
        <v>1048</v>
      </c>
      <c r="G47" s="13" t="s">
        <v>212</v>
      </c>
      <c r="I47" t="s">
        <v>154</v>
      </c>
      <c r="J47" s="341">
        <v>0</v>
      </c>
      <c r="K47" s="341">
        <v>0</v>
      </c>
      <c r="L47" s="341">
        <v>0</v>
      </c>
      <c r="M47" s="341">
        <v>0</v>
      </c>
      <c r="N47" s="341">
        <v>0</v>
      </c>
      <c r="O47" s="341">
        <v>0</v>
      </c>
      <c r="P47" s="341">
        <v>0</v>
      </c>
      <c r="Q47" s="341">
        <v>0</v>
      </c>
      <c r="R47" s="341">
        <v>0</v>
      </c>
      <c r="S47" s="341">
        <v>0</v>
      </c>
      <c r="T47" s="341">
        <v>0</v>
      </c>
      <c r="U47" s="341">
        <v>0</v>
      </c>
      <c r="V47" s="341">
        <v>0</v>
      </c>
      <c r="W47" s="341">
        <v>0</v>
      </c>
      <c r="X47" s="341">
        <v>0</v>
      </c>
      <c r="Y47" s="341">
        <v>0</v>
      </c>
      <c r="AA47" t="s">
        <v>1072</v>
      </c>
    </row>
    <row r="48" spans="5:27" x14ac:dyDescent="0.25">
      <c r="G48" s="13"/>
    </row>
    <row r="49" spans="3:27" x14ac:dyDescent="0.25">
      <c r="C49" s="31" t="str">
        <f ca="1">INDEX('Version control'!$H$34:$H$57,MATCH($A$1,'Version control'!$F$34:$F$57,0),1)&amp;"-C: Service model asset values"</f>
        <v>Input 102-C: Service model asset values</v>
      </c>
      <c r="D49" s="31"/>
      <c r="E49" s="31"/>
      <c r="F49" s="31"/>
      <c r="G49" s="31"/>
      <c r="H49" s="31"/>
      <c r="I49" s="31"/>
      <c r="J49" s="31"/>
      <c r="K49" s="31"/>
      <c r="L49" s="31"/>
      <c r="M49" s="31"/>
      <c r="N49" s="31"/>
      <c r="O49" s="31"/>
      <c r="P49" s="31"/>
      <c r="Q49" s="31"/>
      <c r="R49" s="31"/>
      <c r="S49" s="31"/>
      <c r="T49" s="31"/>
      <c r="U49" s="31"/>
      <c r="V49" s="31"/>
      <c r="W49" s="31"/>
      <c r="X49" s="31"/>
      <c r="Y49" s="31"/>
      <c r="Z49" s="31"/>
      <c r="AA49" s="31"/>
    </row>
    <row r="50" spans="3:27" x14ac:dyDescent="0.25">
      <c r="G50" s="13"/>
    </row>
    <row r="51" spans="3:27" x14ac:dyDescent="0.25">
      <c r="D51" s="29" t="s">
        <v>258</v>
      </c>
      <c r="H51" s="63"/>
    </row>
    <row r="52" spans="3:27" x14ac:dyDescent="0.25">
      <c r="G52" s="13"/>
      <c r="I52" t="s">
        <v>154</v>
      </c>
      <c r="AA52" t="s">
        <v>259</v>
      </c>
    </row>
    <row r="53" spans="3:27" x14ac:dyDescent="0.25">
      <c r="D53" s="88"/>
      <c r="E53" t="s">
        <v>260</v>
      </c>
      <c r="G53" t="s">
        <v>261</v>
      </c>
      <c r="H53" s="51"/>
      <c r="J53" s="258">
        <v>323.73154823152947</v>
      </c>
      <c r="K53" s="79"/>
      <c r="L53" s="258">
        <v>585.77128282075012</v>
      </c>
      <c r="M53" s="79"/>
      <c r="N53" s="258">
        <v>2661.8972103252263</v>
      </c>
      <c r="O53" s="258">
        <v>4932.2995876733112</v>
      </c>
      <c r="P53" s="79"/>
      <c r="Q53" s="79"/>
      <c r="R53" s="258">
        <v>0</v>
      </c>
      <c r="S53" s="258">
        <v>0</v>
      </c>
      <c r="T53" s="258">
        <v>0</v>
      </c>
      <c r="U53" s="258">
        <v>0</v>
      </c>
      <c r="V53" s="258">
        <v>0</v>
      </c>
      <c r="W53" s="258">
        <v>0</v>
      </c>
      <c r="X53" s="79"/>
      <c r="Y53" s="79"/>
    </row>
    <row r="54" spans="3:27" x14ac:dyDescent="0.25">
      <c r="D54" s="88"/>
      <c r="E54" t="s">
        <v>262</v>
      </c>
      <c r="G54" t="s">
        <v>261</v>
      </c>
      <c r="H54" s="51"/>
      <c r="J54" s="79"/>
      <c r="K54" s="79"/>
      <c r="L54" s="79"/>
      <c r="M54" s="79"/>
      <c r="N54" s="79"/>
      <c r="O54" s="79"/>
      <c r="P54" s="258">
        <v>27651.512328111996</v>
      </c>
      <c r="Q54" s="79"/>
      <c r="R54" s="79"/>
      <c r="S54" s="79"/>
      <c r="T54" s="79"/>
      <c r="U54" s="79"/>
      <c r="V54" s="79"/>
      <c r="W54" s="79"/>
      <c r="X54" s="258">
        <v>44850.570248000004</v>
      </c>
      <c r="Y54" s="258">
        <v>44850.570248000004</v>
      </c>
    </row>
    <row r="55" spans="3:27" x14ac:dyDescent="0.25">
      <c r="G55" s="13"/>
      <c r="J55" s="89"/>
      <c r="K55" s="89"/>
      <c r="L55" s="89"/>
      <c r="M55" s="89"/>
      <c r="N55" s="89"/>
      <c r="O55" s="89"/>
      <c r="P55" s="89"/>
      <c r="Q55" s="89"/>
      <c r="R55" s="89"/>
      <c r="S55" s="89"/>
      <c r="T55" s="89"/>
      <c r="U55" s="89"/>
      <c r="V55" s="89"/>
      <c r="W55" s="89"/>
      <c r="X55" s="89"/>
      <c r="Y55" s="89"/>
    </row>
    <row r="56" spans="3:27" x14ac:dyDescent="0.25">
      <c r="D56" s="88"/>
      <c r="E56" t="s">
        <v>263</v>
      </c>
      <c r="G56" t="s">
        <v>264</v>
      </c>
      <c r="I56" t="s">
        <v>154</v>
      </c>
      <c r="J56" s="79"/>
      <c r="K56" s="79"/>
      <c r="L56" s="79"/>
      <c r="M56" s="79"/>
      <c r="N56" s="79"/>
      <c r="O56" s="79"/>
      <c r="P56" s="79"/>
      <c r="Q56" s="258">
        <v>524.30183498999338</v>
      </c>
      <c r="R56" s="79"/>
      <c r="S56" s="79"/>
      <c r="T56" s="79"/>
      <c r="U56" s="79"/>
      <c r="V56" s="79"/>
      <c r="W56" s="79"/>
      <c r="X56" s="79"/>
      <c r="Y56" s="79"/>
      <c r="AA56" t="s">
        <v>265</v>
      </c>
    </row>
    <row r="57" spans="3:27" x14ac:dyDescent="0.25">
      <c r="D57" s="88"/>
      <c r="J57" s="89"/>
      <c r="K57" s="89"/>
      <c r="L57" s="89"/>
      <c r="M57" s="89"/>
      <c r="N57" s="89"/>
      <c r="O57" s="89"/>
      <c r="P57" s="89"/>
      <c r="Q57" s="89"/>
      <c r="R57" s="89"/>
      <c r="S57" s="89"/>
      <c r="T57" s="89"/>
      <c r="U57" s="89"/>
      <c r="V57" s="89"/>
      <c r="W57" s="89"/>
      <c r="X57" s="89"/>
      <c r="Y57" s="89"/>
    </row>
    <row r="58" spans="3:27" x14ac:dyDescent="0.25">
      <c r="C58" s="31" t="str">
        <f ca="1">INDEX('Version control'!$H$34:$H$57,MATCH($A$1,'Version control'!$F$34:$F$57,0),1)&amp;"-D: Previous year all-the-way tariff forecast"</f>
        <v>Input 102-D: Previous year all-the-way tariff forecast</v>
      </c>
      <c r="D58" s="31"/>
      <c r="E58" s="31"/>
      <c r="F58" s="31"/>
      <c r="G58" s="31"/>
      <c r="H58" s="31"/>
      <c r="I58" s="31"/>
      <c r="J58" s="90"/>
      <c r="K58" s="90"/>
      <c r="L58" s="90"/>
      <c r="M58" s="90"/>
      <c r="N58" s="90"/>
      <c r="O58" s="90"/>
      <c r="P58" s="90"/>
      <c r="Q58" s="90"/>
      <c r="R58" s="90"/>
      <c r="S58" s="90"/>
      <c r="T58" s="90"/>
      <c r="U58" s="90"/>
      <c r="V58" s="90"/>
      <c r="W58" s="90"/>
      <c r="X58" s="90"/>
      <c r="Y58" s="90"/>
      <c r="Z58" s="31"/>
      <c r="AA58" s="31"/>
    </row>
    <row r="59" spans="3:27" x14ac:dyDescent="0.25">
      <c r="F59" s="87"/>
      <c r="G59" s="72"/>
      <c r="J59" s="89"/>
      <c r="K59" s="89"/>
      <c r="L59" s="89"/>
      <c r="M59" s="89"/>
      <c r="N59" s="89"/>
      <c r="O59" s="89"/>
      <c r="P59" s="89"/>
      <c r="Q59" s="89"/>
      <c r="R59" s="89"/>
      <c r="S59" s="89"/>
      <c r="T59" s="89"/>
      <c r="U59" s="89"/>
      <c r="V59" s="89"/>
      <c r="W59" s="89"/>
      <c r="X59" s="89"/>
      <c r="Y59" s="89"/>
    </row>
    <row r="60" spans="3:27" x14ac:dyDescent="0.25">
      <c r="D60" s="29" t="s">
        <v>266</v>
      </c>
      <c r="G60" s="13"/>
      <c r="J60" s="89"/>
      <c r="K60" s="89"/>
      <c r="L60" s="89"/>
      <c r="M60" s="89"/>
      <c r="N60" s="89"/>
      <c r="O60" s="89"/>
      <c r="P60" s="89"/>
      <c r="Q60" s="89"/>
      <c r="R60" s="89"/>
      <c r="S60" s="89"/>
      <c r="T60" s="89"/>
      <c r="U60" s="89"/>
      <c r="V60" s="89"/>
      <c r="W60" s="89"/>
      <c r="X60" s="89"/>
      <c r="Y60" s="89"/>
    </row>
    <row r="61" spans="3:27" x14ac:dyDescent="0.25">
      <c r="D61" s="91" t="s">
        <v>267</v>
      </c>
      <c r="G61" s="13"/>
      <c r="J61" s="89"/>
      <c r="K61" s="89"/>
      <c r="L61" s="89"/>
      <c r="M61" s="89"/>
      <c r="N61" s="89"/>
      <c r="O61" s="89"/>
      <c r="P61" s="89"/>
      <c r="Q61" s="89"/>
      <c r="R61" s="89"/>
      <c r="S61" s="89"/>
      <c r="T61" s="89"/>
      <c r="U61" s="89"/>
      <c r="V61" s="89"/>
      <c r="W61" s="89"/>
      <c r="X61" s="89"/>
      <c r="Y61" s="89"/>
    </row>
    <row r="62" spans="3:27" x14ac:dyDescent="0.25">
      <c r="D62" s="91"/>
      <c r="G62" s="13"/>
      <c r="J62" s="89"/>
      <c r="K62" s="89"/>
      <c r="L62" s="89"/>
      <c r="M62" s="89"/>
      <c r="N62" s="89"/>
      <c r="O62" s="89"/>
      <c r="P62" s="89"/>
      <c r="Q62" s="89"/>
      <c r="R62" s="89"/>
      <c r="S62" s="89"/>
      <c r="T62" s="89"/>
      <c r="U62" s="89"/>
      <c r="V62" s="89"/>
      <c r="W62" s="89"/>
      <c r="X62" s="89"/>
      <c r="Y62" s="89"/>
    </row>
    <row r="63" spans="3:27" x14ac:dyDescent="0.25">
      <c r="E63" s="32" t="s">
        <v>268</v>
      </c>
      <c r="G63" s="13"/>
      <c r="J63" s="89"/>
      <c r="K63" s="89"/>
      <c r="L63" s="89"/>
      <c r="M63" s="89"/>
      <c r="N63" s="89"/>
      <c r="O63" s="89"/>
      <c r="P63" s="89"/>
      <c r="Q63" s="89"/>
      <c r="R63" s="89"/>
      <c r="S63" s="89"/>
      <c r="T63" s="89"/>
      <c r="U63" s="89"/>
      <c r="V63" s="89"/>
      <c r="W63" s="89"/>
      <c r="X63" s="89"/>
      <c r="Y63" s="89"/>
    </row>
    <row r="64" spans="3:27" x14ac:dyDescent="0.25">
      <c r="F64" s="23" t="s">
        <v>156</v>
      </c>
      <c r="G64" s="23" t="s">
        <v>269</v>
      </c>
      <c r="H64" s="270"/>
      <c r="I64" s="270"/>
      <c r="J64" s="271"/>
      <c r="K64" s="271"/>
      <c r="L64" s="271"/>
      <c r="M64" s="271"/>
      <c r="N64" s="271"/>
      <c r="O64" s="271"/>
      <c r="P64" s="271"/>
      <c r="Q64" s="271"/>
      <c r="R64" s="271"/>
      <c r="S64" s="271"/>
      <c r="T64" s="271"/>
      <c r="U64" s="271"/>
      <c r="V64" s="271"/>
      <c r="W64" s="271"/>
      <c r="X64" s="271"/>
      <c r="Y64" s="271"/>
      <c r="Z64" s="272"/>
      <c r="AA64" s="272"/>
    </row>
    <row r="65" spans="2:27" x14ac:dyDescent="0.25">
      <c r="F65" t="s">
        <v>157</v>
      </c>
      <c r="G65" t="s">
        <v>269</v>
      </c>
      <c r="H65" s="272"/>
      <c r="I65" s="272"/>
      <c r="J65" s="274"/>
      <c r="K65" s="274"/>
      <c r="L65" s="274"/>
      <c r="M65" s="274"/>
      <c r="N65" s="274"/>
      <c r="O65" s="274"/>
      <c r="P65" s="274"/>
      <c r="Q65" s="275"/>
      <c r="R65" s="275"/>
      <c r="S65" s="275"/>
      <c r="T65" s="274"/>
      <c r="U65" s="274"/>
      <c r="V65" s="274"/>
      <c r="W65" s="274"/>
      <c r="X65" s="274"/>
      <c r="Y65" s="274"/>
      <c r="Z65" s="272"/>
      <c r="AA65" s="272"/>
    </row>
    <row r="66" spans="2:27" x14ac:dyDescent="0.25">
      <c r="F66" t="s">
        <v>158</v>
      </c>
      <c r="G66" t="s">
        <v>269</v>
      </c>
      <c r="H66" s="272"/>
      <c r="I66" s="272"/>
      <c r="J66" s="274"/>
      <c r="K66" s="274"/>
      <c r="L66" s="274"/>
      <c r="M66" s="274"/>
      <c r="N66" s="274"/>
      <c r="O66" s="274"/>
      <c r="P66" s="274"/>
      <c r="Q66" s="275"/>
      <c r="R66" s="275"/>
      <c r="S66" s="275"/>
      <c r="T66" s="274"/>
      <c r="U66" s="274"/>
      <c r="V66" s="274"/>
      <c r="W66" s="274"/>
      <c r="X66" s="274"/>
      <c r="Y66" s="274"/>
      <c r="Z66" s="272"/>
      <c r="AA66" s="272"/>
    </row>
    <row r="67" spans="2:27" x14ac:dyDescent="0.25">
      <c r="F67" t="s">
        <v>159</v>
      </c>
      <c r="G67" t="s">
        <v>270</v>
      </c>
      <c r="J67" s="258"/>
      <c r="K67" s="79"/>
      <c r="L67" s="258"/>
      <c r="M67" s="79"/>
      <c r="N67" s="258"/>
      <c r="O67" s="258"/>
      <c r="P67" s="258"/>
      <c r="Q67" s="79"/>
      <c r="R67" s="79"/>
      <c r="S67" s="79"/>
      <c r="T67" s="79"/>
      <c r="U67" s="79"/>
      <c r="V67" s="79"/>
      <c r="W67" s="79"/>
      <c r="X67" s="258"/>
      <c r="Y67" s="258"/>
    </row>
    <row r="68" spans="2:27" x14ac:dyDescent="0.25">
      <c r="F68" t="s">
        <v>160</v>
      </c>
      <c r="G68" t="s">
        <v>271</v>
      </c>
      <c r="J68" s="79"/>
      <c r="K68" s="79"/>
      <c r="L68" s="79"/>
      <c r="M68" s="79"/>
      <c r="N68" s="258"/>
      <c r="O68" s="258"/>
      <c r="P68" s="258"/>
      <c r="Q68" s="79"/>
      <c r="R68" s="79"/>
      <c r="S68" s="79"/>
      <c r="T68" s="79"/>
      <c r="U68" s="79"/>
      <c r="V68" s="79"/>
      <c r="W68" s="79"/>
      <c r="X68" s="79"/>
      <c r="Y68" s="79"/>
    </row>
    <row r="69" spans="2:27" x14ac:dyDescent="0.25">
      <c r="F69" t="s">
        <v>161</v>
      </c>
      <c r="G69" t="s">
        <v>271</v>
      </c>
      <c r="J69" s="79"/>
      <c r="K69" s="79"/>
      <c r="L69" s="79"/>
      <c r="M69" s="79"/>
      <c r="N69" s="258"/>
      <c r="O69" s="258"/>
      <c r="P69" s="258"/>
      <c r="Q69" s="79"/>
      <c r="R69" s="79"/>
      <c r="S69" s="79"/>
      <c r="T69" s="79"/>
      <c r="U69" s="79"/>
      <c r="V69" s="79"/>
      <c r="W69" s="79"/>
      <c r="X69" s="79"/>
      <c r="Y69" s="79"/>
    </row>
    <row r="70" spans="2:27" x14ac:dyDescent="0.25">
      <c r="F70" s="37" t="s">
        <v>162</v>
      </c>
      <c r="G70" s="37" t="s">
        <v>272</v>
      </c>
      <c r="H70" s="276"/>
      <c r="I70" s="276"/>
      <c r="J70" s="277"/>
      <c r="K70" s="277"/>
      <c r="L70" s="277"/>
      <c r="M70" s="277"/>
      <c r="N70" s="278"/>
      <c r="O70" s="278"/>
      <c r="P70" s="278"/>
      <c r="Q70" s="277"/>
      <c r="R70" s="277"/>
      <c r="S70" s="277"/>
      <c r="T70" s="278"/>
      <c r="U70" s="277"/>
      <c r="V70" s="278"/>
      <c r="W70" s="277"/>
      <c r="X70" s="278"/>
      <c r="Y70" s="277"/>
      <c r="Z70" s="272"/>
      <c r="AA70" s="272"/>
    </row>
    <row r="71" spans="2:27" x14ac:dyDescent="0.25">
      <c r="G71" s="13"/>
      <c r="J71" s="89"/>
      <c r="K71" s="89"/>
      <c r="L71" s="89"/>
      <c r="M71" s="89"/>
      <c r="N71" s="89"/>
      <c r="O71" s="89"/>
      <c r="P71" s="89"/>
      <c r="Q71" s="89"/>
      <c r="R71" s="89"/>
      <c r="S71" s="89"/>
      <c r="T71" s="89"/>
      <c r="U71" s="89"/>
      <c r="V71" s="89"/>
      <c r="W71" s="89"/>
      <c r="X71" s="89"/>
      <c r="Y71" s="89"/>
    </row>
    <row r="72" spans="2:27" x14ac:dyDescent="0.25">
      <c r="C72" s="31" t="str">
        <f ca="1">INDEX('Version control'!$H$34:$H$57,MATCH($A$1,'Version control'!$F$34:$F$57,0),1)&amp;"-E: Previous year net revenue (if known)"</f>
        <v>Input 102-E: Previous year net revenue (if known)</v>
      </c>
      <c r="D72" s="31"/>
      <c r="E72" s="31"/>
      <c r="F72" s="31"/>
      <c r="G72" s="31"/>
      <c r="H72" s="31"/>
      <c r="I72" s="31"/>
      <c r="J72" s="90"/>
      <c r="K72" s="90"/>
      <c r="L72" s="90"/>
      <c r="M72" s="90"/>
      <c r="N72" s="90"/>
      <c r="O72" s="90"/>
      <c r="P72" s="90"/>
      <c r="Q72" s="90"/>
      <c r="R72" s="90"/>
      <c r="S72" s="90"/>
      <c r="T72" s="90"/>
      <c r="U72" s="90"/>
      <c r="V72" s="90"/>
      <c r="W72" s="90"/>
      <c r="X72" s="90"/>
      <c r="Y72" s="90"/>
      <c r="Z72" s="31"/>
      <c r="AA72" s="31"/>
    </row>
    <row r="73" spans="2:27" x14ac:dyDescent="0.25">
      <c r="F73" s="87"/>
      <c r="G73" s="72"/>
      <c r="J73" s="89"/>
      <c r="K73" s="89"/>
      <c r="L73" s="89"/>
      <c r="M73" s="89"/>
      <c r="N73" s="89"/>
      <c r="O73" s="89"/>
      <c r="P73" s="89"/>
      <c r="Q73" s="89"/>
      <c r="R73" s="89"/>
      <c r="S73" s="89"/>
      <c r="T73" s="89"/>
      <c r="U73" s="89"/>
      <c r="V73" s="89"/>
      <c r="W73" s="89"/>
      <c r="X73" s="89"/>
      <c r="Y73" s="89"/>
    </row>
    <row r="74" spans="2:27" x14ac:dyDescent="0.25">
      <c r="D74" s="29" t="s">
        <v>273</v>
      </c>
      <c r="G74" s="13"/>
      <c r="J74" s="89"/>
      <c r="K74" s="89"/>
      <c r="L74" s="89"/>
      <c r="M74" s="89"/>
      <c r="N74" s="89"/>
      <c r="O74" s="89"/>
      <c r="P74" s="89"/>
      <c r="Q74" s="89"/>
      <c r="R74" s="89"/>
      <c r="S74" s="89"/>
      <c r="T74" s="89"/>
      <c r="U74" s="89"/>
      <c r="V74" s="89"/>
      <c r="W74" s="89"/>
      <c r="X74" s="89"/>
      <c r="Y74" s="89"/>
    </row>
    <row r="75" spans="2:27" x14ac:dyDescent="0.25">
      <c r="D75" s="91" t="s">
        <v>274</v>
      </c>
      <c r="G75" s="13"/>
      <c r="J75" s="89"/>
      <c r="K75" s="89"/>
      <c r="L75" s="89"/>
      <c r="M75" s="89"/>
      <c r="N75" s="89"/>
      <c r="O75" s="89"/>
      <c r="P75" s="89"/>
      <c r="Q75" s="89"/>
      <c r="R75" s="89"/>
      <c r="S75" s="89"/>
      <c r="T75" s="89"/>
      <c r="U75" s="89"/>
      <c r="V75" s="89"/>
      <c r="W75" s="89"/>
      <c r="X75" s="89"/>
      <c r="Y75" s="89"/>
    </row>
    <row r="76" spans="2:27" x14ac:dyDescent="0.25">
      <c r="D76" s="29" t="s">
        <v>275</v>
      </c>
      <c r="G76" s="13"/>
      <c r="J76" s="89"/>
      <c r="K76" s="89"/>
      <c r="L76" s="89"/>
      <c r="M76" s="89"/>
      <c r="N76" s="89"/>
      <c r="O76" s="89"/>
      <c r="P76" s="89"/>
      <c r="Q76" s="89"/>
      <c r="R76" s="89"/>
      <c r="S76" s="89"/>
      <c r="T76" s="89"/>
      <c r="U76" s="89"/>
      <c r="V76" s="89"/>
      <c r="W76" s="89"/>
      <c r="X76" s="89"/>
      <c r="Y76" s="89"/>
    </row>
    <row r="77" spans="2:27" x14ac:dyDescent="0.25">
      <c r="G77" s="13"/>
      <c r="J77" s="89"/>
      <c r="K77" s="89"/>
      <c r="L77" s="89"/>
      <c r="M77" s="89"/>
      <c r="N77" s="89"/>
      <c r="O77" s="89"/>
      <c r="P77" s="89"/>
      <c r="Q77" s="89"/>
      <c r="R77" s="89"/>
      <c r="S77" s="89"/>
      <c r="T77" s="89"/>
      <c r="U77" s="89"/>
      <c r="V77" s="89"/>
      <c r="W77" s="89"/>
      <c r="X77" s="89"/>
      <c r="Y77" s="89"/>
    </row>
    <row r="78" spans="2:27" x14ac:dyDescent="0.25">
      <c r="E78" t="s">
        <v>276</v>
      </c>
      <c r="G78" t="s">
        <v>277</v>
      </c>
      <c r="J78" s="258"/>
      <c r="K78" s="258"/>
      <c r="L78" s="258"/>
      <c r="M78" s="258"/>
      <c r="N78" s="258"/>
      <c r="O78" s="258"/>
      <c r="P78" s="258"/>
      <c r="Q78" s="258"/>
      <c r="R78" s="258"/>
      <c r="S78" s="258"/>
      <c r="T78" s="258"/>
      <c r="U78" s="258"/>
      <c r="V78" s="258"/>
      <c r="W78" s="258"/>
      <c r="X78" s="258"/>
      <c r="Y78" s="258"/>
    </row>
    <row r="79" spans="2:27" x14ac:dyDescent="0.25">
      <c r="G79" s="13"/>
    </row>
    <row r="80" spans="2:27" x14ac:dyDescent="0.25">
      <c r="B80" s="30" t="s">
        <v>231</v>
      </c>
      <c r="C80" s="30"/>
      <c r="D80" s="30"/>
      <c r="E80" s="30"/>
      <c r="F80" s="30"/>
      <c r="G80" s="92"/>
      <c r="H80" s="30"/>
      <c r="I80" s="30"/>
      <c r="J80" s="30"/>
      <c r="K80" s="30"/>
      <c r="L80" s="30"/>
      <c r="M80" s="30"/>
      <c r="N80" s="30"/>
      <c r="O80" s="30"/>
      <c r="P80" s="30"/>
      <c r="Q80" s="30"/>
      <c r="R80" s="30"/>
      <c r="S80" s="30"/>
      <c r="T80" s="30"/>
      <c r="U80" s="30"/>
      <c r="V80" s="30"/>
      <c r="W80" s="30"/>
      <c r="X80" s="30"/>
      <c r="Y80" s="30"/>
      <c r="Z80" s="30"/>
      <c r="AA80" s="30"/>
    </row>
    <row r="81" spans="2:27" x14ac:dyDescent="0.25">
      <c r="G81" s="13"/>
    </row>
    <row r="82" spans="2:27" x14ac:dyDescent="0.25">
      <c r="E82" t="s">
        <v>232</v>
      </c>
      <c r="G82" s="6" t="s">
        <v>55</v>
      </c>
      <c r="H82" s="24">
        <f t="array" ref="H82">SUM(IF(ISERROR(H13:Y79), 1))</f>
        <v>0</v>
      </c>
    </row>
    <row r="83" spans="2:27" x14ac:dyDescent="0.25">
      <c r="G83" s="13"/>
    </row>
    <row r="84" spans="2:27" x14ac:dyDescent="0.25">
      <c r="E84" t="s">
        <v>239</v>
      </c>
      <c r="G84" s="6" t="s">
        <v>55</v>
      </c>
      <c r="H84" s="26">
        <f>H82</f>
        <v>0</v>
      </c>
    </row>
    <row r="86" spans="2:27" x14ac:dyDescent="0.25">
      <c r="B86" s="30" t="s">
        <v>106</v>
      </c>
      <c r="C86" s="30"/>
      <c r="D86" s="30"/>
      <c r="E86" s="30"/>
      <c r="F86" s="30"/>
      <c r="G86" s="30"/>
      <c r="H86" s="30"/>
      <c r="I86" s="30"/>
      <c r="J86" s="30"/>
      <c r="K86" s="30"/>
      <c r="L86" s="30"/>
      <c r="M86" s="30"/>
      <c r="N86" s="30"/>
      <c r="O86" s="30"/>
      <c r="P86" s="30"/>
      <c r="Q86" s="30"/>
      <c r="R86" s="30"/>
      <c r="S86" s="30"/>
      <c r="T86" s="30"/>
      <c r="U86" s="30"/>
      <c r="V86" s="30"/>
      <c r="W86" s="30"/>
      <c r="X86" s="30"/>
      <c r="Y86" s="30"/>
      <c r="Z86" s="30"/>
      <c r="AA86" s="30"/>
    </row>
  </sheetData>
  <sheetProtection formatCells="0" formatColumns="0" formatRows="0" sort="0" autoFilter="0"/>
  <conditionalFormatting sqref="H82">
    <cfRule type="cellIs" dxfId="204" priority="90" operator="greaterThan">
      <formula>0</formula>
    </cfRule>
  </conditionalFormatting>
  <conditionalFormatting sqref="H84">
    <cfRule type="cellIs" dxfId="203" priority="68" operator="greaterThan">
      <formula>0</formula>
    </cfRule>
  </conditionalFormatting>
  <conditionalFormatting sqref="A4:I4 Z4:XFD4">
    <cfRule type="expression" dxfId="202" priority="67">
      <formula>LEFT($A$4,1) &lt;&gt; "0"</formula>
    </cfRule>
  </conditionalFormatting>
  <conditionalFormatting sqref="N4:P4">
    <cfRule type="expression" dxfId="201" priority="30">
      <formula>LEFT($A$4,1) &lt;&gt; "0"</formula>
    </cfRule>
  </conditionalFormatting>
  <conditionalFormatting sqref="L4:M4">
    <cfRule type="expression" dxfId="200" priority="26">
      <formula>LEFT($A$4,1) &lt;&gt; "0"</formula>
    </cfRule>
  </conditionalFormatting>
  <conditionalFormatting sqref="J4:K4">
    <cfRule type="expression" dxfId="199" priority="22">
      <formula>LEFT($A$4,1) &lt;&gt; "0"</formula>
    </cfRule>
  </conditionalFormatting>
  <conditionalFormatting sqref="Q4">
    <cfRule type="expression" dxfId="198" priority="18">
      <formula>LEFT($A$4,1) &lt;&gt; "0"</formula>
    </cfRule>
  </conditionalFormatting>
  <conditionalFormatting sqref="R4:S4">
    <cfRule type="expression" dxfId="197" priority="17">
      <formula>LEFT($A$4,1) &lt;&gt; "0"</formula>
    </cfRule>
  </conditionalFormatting>
  <conditionalFormatting sqref="T4:U4">
    <cfRule type="expression" dxfId="196" priority="12">
      <formula>LEFT($A$4,1) &lt;&gt; "0"</formula>
    </cfRule>
  </conditionalFormatting>
  <conditionalFormatting sqref="V4:W4">
    <cfRule type="expression" dxfId="195" priority="7">
      <formula>LEFT($A$4,1) &lt;&gt; "0"</formula>
    </cfRule>
  </conditionalFormatting>
  <conditionalFormatting sqref="X4:Y4">
    <cfRule type="expression" dxfId="194" priority="1">
      <formula>LEFT($A$4,1) &lt;&gt; "0"</formula>
    </cfRule>
  </conditionalFormatting>
  <dataValidations count="6">
    <dataValidation type="decimal" allowBlank="1" showInputMessage="1" showErrorMessage="1" errorTitle="Invalid coincidence factor" error="Invalid coincidence factor (unused cell or not between 0% and 100%)." sqref="R15:Y16 J16:Q16" xr:uid="{00000000-0002-0000-0600-000000000000}">
      <formula1>0</formula1>
      <formula2>1</formula2>
    </dataValidation>
    <dataValidation type="textLength" operator="equal" allowBlank="1" showInputMessage="1" showErrorMessage="1" error="This cell is not in use." sqref="Y56:Y57 Y73 Y59 Y51" xr:uid="{00000000-0002-0000-0600-000001000000}">
      <formula1>0</formula1>
    </dataValidation>
    <dataValidation type="decimal" operator="greaterThanOrEqual" allowBlank="1" showInputMessage="1" showErrorMessage="1" errorTitle="Invalid volume data" error="Invalid volume data (negative number or unused cell)." sqref="M67 K67 Q31:R32 J56:Y57 J51:Y51 J34:Y45 J59:Y59 J73:Y73 J21:Y30 J53:Y54" xr:uid="{00000000-0002-0000-0600-000002000000}">
      <formula1>0</formula1>
    </dataValidation>
    <dataValidation allowBlank="1" sqref="K68:K70 K64:K66 L64:L70 M68:M70 M64:M66 N64:Y70 J78:Y78 J64:J70" xr:uid="{00000000-0002-0000-0600-000003000000}"/>
    <dataValidation type="decimal" operator="greaterThanOrEqual" allowBlank="1" showInputMessage="1" showErrorMessage="1" sqref="Y15:Y45" xr:uid="{00000000-0002-0000-0600-000004000000}">
      <formula1>0</formula1>
    </dataValidation>
    <dataValidation type="decimal" allowBlank="1" showInputMessage="1" showErrorMessage="1" errorTitle="Invalid load factor" error="The load factor must be between 0% and 100%." sqref="J15:Q15" xr:uid="{00000000-0002-0000-0600-000005000000}">
      <formula1>0</formula1>
      <formula2>1</formula2>
    </dataValidation>
  </dataValidations>
  <hyperlinks>
    <hyperlink ref="B5:F5" location="'Model map'!A1" display="Click here to return to model map" xr:uid="{00000000-0004-0000-06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1">
    <tabColor theme="5" tint="0.59999389629810485"/>
    <pageSetUpPr fitToPage="1"/>
  </sheetPr>
  <dimension ref="A1:IV6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28515625" hidden="1"/>
  </cols>
  <sheetData>
    <row r="1" spans="1:27" s="1" customFormat="1" x14ac:dyDescent="0.25">
      <c r="A1" s="1" t="str">
        <f ca="1">MID(CELL("filename",A1),FIND("]",CELL("filename",A1))+1,255)</f>
        <v>Inputs by network level</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H56 &amp; IF(H56 = 1, " issue", " issues") &amp;" identified in checks on this sheet"</f>
        <v>0 issues identified in checks on this sheet</v>
      </c>
      <c r="B4" s="13"/>
      <c r="C4" s="13"/>
      <c r="D4" s="13"/>
      <c r="E4" s="13"/>
      <c r="F4" s="13"/>
      <c r="G4" s="13"/>
      <c r="H4" s="14"/>
      <c r="I4" s="14"/>
      <c r="J4" s="13"/>
    </row>
    <row r="5" spans="1:27" x14ac:dyDescent="0.25">
      <c r="B5" s="59" t="s">
        <v>142</v>
      </c>
      <c r="C5" s="60"/>
      <c r="D5" s="60"/>
      <c r="E5" s="60"/>
      <c r="F5" s="60"/>
      <c r="G5" s="1" t="s">
        <v>143</v>
      </c>
      <c r="H5" s="93" t="s">
        <v>144</v>
      </c>
      <c r="I5" s="14"/>
      <c r="J5" s="93" t="s">
        <v>189</v>
      </c>
      <c r="K5" s="93" t="s">
        <v>191</v>
      </c>
      <c r="L5" s="93" t="s">
        <v>192</v>
      </c>
      <c r="M5" s="93" t="s">
        <v>193</v>
      </c>
      <c r="N5" s="93" t="s">
        <v>194</v>
      </c>
      <c r="O5" s="93" t="s">
        <v>195</v>
      </c>
      <c r="P5" s="93" t="s">
        <v>196</v>
      </c>
      <c r="Q5" s="93" t="s">
        <v>197</v>
      </c>
      <c r="R5" s="93" t="s">
        <v>198</v>
      </c>
      <c r="S5" s="93" t="s">
        <v>199</v>
      </c>
      <c r="U5" s="61" t="s">
        <v>145</v>
      </c>
    </row>
    <row r="7" spans="1:27" x14ac:dyDescent="0.25">
      <c r="B7" s="30" t="s">
        <v>10</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25">
      <c r="C9" s="29" t="s">
        <v>278</v>
      </c>
    </row>
    <row r="11" spans="1:27" x14ac:dyDescent="0.25">
      <c r="B11" s="30" t="s">
        <v>58</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25">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25">
      <c r="E15" s="28" t="s">
        <v>279</v>
      </c>
      <c r="G15" s="28" t="s">
        <v>167</v>
      </c>
      <c r="I15" t="s">
        <v>154</v>
      </c>
      <c r="J15" s="94"/>
      <c r="K15" s="263">
        <v>4.9000000000000002E-2</v>
      </c>
      <c r="L15" s="263">
        <v>0</v>
      </c>
      <c r="M15" s="94"/>
      <c r="N15" s="263">
        <v>8.7309999999999999E-2</v>
      </c>
      <c r="O15" s="94"/>
      <c r="P15" s="77"/>
      <c r="Q15" s="263">
        <v>0.5292</v>
      </c>
      <c r="R15" s="66"/>
      <c r="S15" s="66"/>
      <c r="U15" s="63" t="s">
        <v>280</v>
      </c>
    </row>
    <row r="17" spans="3:27" x14ac:dyDescent="0.25">
      <c r="E17" s="28" t="s">
        <v>281</v>
      </c>
      <c r="G17" s="28" t="s">
        <v>167</v>
      </c>
      <c r="H17" s="28"/>
      <c r="I17" s="95"/>
      <c r="J17" s="94"/>
      <c r="K17" s="66"/>
      <c r="L17" s="66"/>
      <c r="M17" s="66"/>
      <c r="N17" s="66"/>
      <c r="O17" s="66"/>
      <c r="P17" s="263">
        <v>0</v>
      </c>
      <c r="Q17" s="66"/>
      <c r="R17" s="66"/>
      <c r="S17" s="66"/>
    </row>
    <row r="19" spans="3:27" x14ac:dyDescent="0.25">
      <c r="E19" s="28" t="s">
        <v>282</v>
      </c>
      <c r="G19" s="28" t="s">
        <v>283</v>
      </c>
      <c r="I19" t="s">
        <v>154</v>
      </c>
      <c r="J19" s="79"/>
      <c r="K19" s="258">
        <v>1</v>
      </c>
      <c r="L19" s="258">
        <v>1</v>
      </c>
      <c r="M19" s="258">
        <v>1</v>
      </c>
      <c r="N19" s="258">
        <v>1.014</v>
      </c>
      <c r="O19" s="258">
        <v>1.026</v>
      </c>
      <c r="P19" s="79"/>
      <c r="Q19" s="258">
        <v>1.036</v>
      </c>
      <c r="R19" s="258">
        <v>1.0589999999999999</v>
      </c>
      <c r="S19" s="258">
        <v>1.093</v>
      </c>
      <c r="U19" s="63" t="s">
        <v>284</v>
      </c>
    </row>
    <row r="20" spans="3:27" x14ac:dyDescent="0.25">
      <c r="J20" s="89"/>
      <c r="K20" s="89"/>
      <c r="L20" s="89"/>
      <c r="M20" s="89"/>
      <c r="N20" s="89"/>
      <c r="O20" s="89"/>
      <c r="P20" s="89"/>
      <c r="Q20" s="89"/>
      <c r="R20" s="89"/>
      <c r="S20" s="89"/>
    </row>
    <row r="21" spans="3:27" x14ac:dyDescent="0.25">
      <c r="E21" s="28" t="s">
        <v>285</v>
      </c>
      <c r="G21" s="28" t="s">
        <v>286</v>
      </c>
      <c r="I21" t="s">
        <v>154</v>
      </c>
      <c r="J21" s="79"/>
      <c r="K21" s="258">
        <v>0.18106064158300658</v>
      </c>
      <c r="L21" s="258">
        <v>0</v>
      </c>
      <c r="M21" s="258">
        <v>0</v>
      </c>
      <c r="N21" s="258">
        <v>0.18106064158300658</v>
      </c>
      <c r="O21" s="258">
        <v>0.18106064158300658</v>
      </c>
      <c r="P21" s="258">
        <v>0</v>
      </c>
      <c r="Q21" s="258">
        <v>0.18106064158300658</v>
      </c>
      <c r="R21" s="258">
        <v>0.18106064158300658</v>
      </c>
      <c r="S21" s="258">
        <v>0.18106064158300658</v>
      </c>
      <c r="U21" s="63" t="s">
        <v>287</v>
      </c>
    </row>
    <row r="23" spans="3:27" x14ac:dyDescent="0.25">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25">
      <c r="C24" s="32"/>
      <c r="I24" t="s">
        <v>154</v>
      </c>
      <c r="U24" t="s">
        <v>288</v>
      </c>
    </row>
    <row r="25" spans="3:27" x14ac:dyDescent="0.25">
      <c r="C25" s="32"/>
      <c r="E25" s="32" t="s">
        <v>289</v>
      </c>
    </row>
    <row r="26" spans="3:27" x14ac:dyDescent="0.25">
      <c r="F26" s="64" t="s">
        <v>186</v>
      </c>
      <c r="G26" s="64" t="s">
        <v>167</v>
      </c>
      <c r="H26" s="23"/>
      <c r="I26" s="23"/>
      <c r="J26" s="65"/>
      <c r="K26" s="65"/>
      <c r="L26" s="261">
        <v>0</v>
      </c>
      <c r="M26" s="261">
        <v>0</v>
      </c>
      <c r="N26" s="261">
        <v>6.4338235294117696E-3</v>
      </c>
      <c r="O26" s="261">
        <v>4.1617122473246101E-3</v>
      </c>
      <c r="P26" s="261">
        <v>0</v>
      </c>
      <c r="Q26" s="261">
        <v>0.42522380337704002</v>
      </c>
      <c r="R26" s="261">
        <v>0.78260869565217395</v>
      </c>
      <c r="S26" s="261">
        <v>0.966742252456538</v>
      </c>
    </row>
    <row r="27" spans="3:27" x14ac:dyDescent="0.25">
      <c r="F27" s="28" t="s">
        <v>185</v>
      </c>
      <c r="G27" s="28" t="s">
        <v>167</v>
      </c>
      <c r="J27" s="66"/>
      <c r="K27" s="66"/>
      <c r="L27" s="256">
        <v>0</v>
      </c>
      <c r="M27" s="256">
        <v>0</v>
      </c>
      <c r="N27" s="256">
        <v>6.4338235294117696E-3</v>
      </c>
      <c r="O27" s="256">
        <v>4.1617122473246101E-3</v>
      </c>
      <c r="P27" s="256">
        <v>0</v>
      </c>
      <c r="Q27" s="256">
        <v>0.42522380337704002</v>
      </c>
      <c r="R27" s="256">
        <v>0.78260869565217395</v>
      </c>
      <c r="S27" s="70"/>
    </row>
    <row r="28" spans="3:27" x14ac:dyDescent="0.25">
      <c r="F28" s="28" t="s">
        <v>184</v>
      </c>
      <c r="G28" s="28" t="s">
        <v>167</v>
      </c>
      <c r="J28" s="66"/>
      <c r="K28" s="66"/>
      <c r="L28" s="256">
        <v>0</v>
      </c>
      <c r="M28" s="256">
        <v>0</v>
      </c>
      <c r="N28" s="256">
        <v>1.16978609625668E-2</v>
      </c>
      <c r="O28" s="256">
        <v>7.56674954059021E-3</v>
      </c>
      <c r="P28" s="256">
        <v>0</v>
      </c>
      <c r="Q28" s="256">
        <v>0.38896884219615702</v>
      </c>
      <c r="R28" s="70"/>
      <c r="S28" s="70"/>
    </row>
    <row r="29" spans="3:27" x14ac:dyDescent="0.25">
      <c r="F29" s="67" t="s">
        <v>183</v>
      </c>
      <c r="G29" s="67" t="s">
        <v>167</v>
      </c>
      <c r="H29" s="37"/>
      <c r="I29" s="37"/>
      <c r="J29" s="68"/>
      <c r="K29" s="68"/>
      <c r="L29" s="262">
        <v>0</v>
      </c>
      <c r="M29" s="262">
        <v>0</v>
      </c>
      <c r="N29" s="262">
        <v>1.16978609625668E-2</v>
      </c>
      <c r="O29" s="262">
        <v>7.56674954059021E-3</v>
      </c>
      <c r="P29" s="71"/>
      <c r="Q29" s="71"/>
      <c r="R29" s="71"/>
      <c r="S29" s="71"/>
    </row>
    <row r="31" spans="3:27" x14ac:dyDescent="0.25">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25">
      <c r="E33" s="28" t="s">
        <v>290</v>
      </c>
      <c r="G33" s="28" t="s">
        <v>277</v>
      </c>
      <c r="I33" t="s">
        <v>154</v>
      </c>
      <c r="J33" s="79"/>
      <c r="K33" s="79"/>
      <c r="L33" s="258">
        <v>0</v>
      </c>
      <c r="M33" s="258">
        <v>0</v>
      </c>
      <c r="N33" s="258">
        <v>83352752.612587541</v>
      </c>
      <c r="O33" s="258">
        <v>75417262.601071209</v>
      </c>
      <c r="P33" s="258">
        <v>0</v>
      </c>
      <c r="Q33" s="258">
        <v>311643309.08843678</v>
      </c>
      <c r="R33" s="258">
        <v>75464915.403196216</v>
      </c>
      <c r="S33" s="258">
        <v>179139294.10803175</v>
      </c>
    </row>
    <row r="35" spans="2:27" x14ac:dyDescent="0.25">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25">
      <c r="D37" s="29" t="s">
        <v>291</v>
      </c>
    </row>
    <row r="38" spans="2:27" x14ac:dyDescent="0.25">
      <c r="C38" s="29"/>
    </row>
    <row r="39" spans="2:27" x14ac:dyDescent="0.25">
      <c r="D39" s="32"/>
      <c r="E39" s="32" t="s">
        <v>292</v>
      </c>
      <c r="I39" t="s">
        <v>154</v>
      </c>
      <c r="U39" t="s">
        <v>293</v>
      </c>
    </row>
    <row r="40" spans="2:27" x14ac:dyDescent="0.25">
      <c r="F40" s="23" t="s">
        <v>294</v>
      </c>
      <c r="G40" s="78" t="s">
        <v>167</v>
      </c>
      <c r="H40" s="23"/>
      <c r="I40" s="23"/>
      <c r="J40" s="65"/>
      <c r="K40" s="261">
        <v>0.51</v>
      </c>
      <c r="L40" s="261">
        <v>0</v>
      </c>
      <c r="M40" s="261">
        <v>0</v>
      </c>
      <c r="N40" s="261">
        <v>0.46</v>
      </c>
      <c r="O40" s="261">
        <v>0.46</v>
      </c>
      <c r="P40" s="261">
        <v>0</v>
      </c>
      <c r="Q40" s="261">
        <v>0.46</v>
      </c>
      <c r="R40" s="261">
        <v>0.46</v>
      </c>
      <c r="S40" s="261">
        <v>0.46</v>
      </c>
    </row>
    <row r="41" spans="2:27" x14ac:dyDescent="0.25">
      <c r="F41" t="s">
        <v>295</v>
      </c>
      <c r="G41" s="72" t="s">
        <v>167</v>
      </c>
      <c r="J41" s="66"/>
      <c r="K41" s="256">
        <v>0.33</v>
      </c>
      <c r="L41" s="256">
        <v>0</v>
      </c>
      <c r="M41" s="256">
        <v>0</v>
      </c>
      <c r="N41" s="256">
        <v>0.35</v>
      </c>
      <c r="O41" s="256">
        <v>0.35</v>
      </c>
      <c r="P41" s="256">
        <v>0</v>
      </c>
      <c r="Q41" s="256">
        <v>0.35</v>
      </c>
      <c r="R41" s="256">
        <v>0.35</v>
      </c>
      <c r="S41" s="256">
        <v>0.35</v>
      </c>
    </row>
    <row r="42" spans="2:27" x14ac:dyDescent="0.25">
      <c r="F42" s="37" t="s">
        <v>257</v>
      </c>
      <c r="G42" s="80" t="s">
        <v>167</v>
      </c>
      <c r="H42" s="37"/>
      <c r="I42" s="37"/>
      <c r="J42" s="68"/>
      <c r="K42" s="262">
        <v>0.16</v>
      </c>
      <c r="L42" s="262">
        <v>0</v>
      </c>
      <c r="M42" s="262">
        <v>0</v>
      </c>
      <c r="N42" s="262">
        <v>0.19</v>
      </c>
      <c r="O42" s="262">
        <v>0.19</v>
      </c>
      <c r="P42" s="262">
        <v>0</v>
      </c>
      <c r="Q42" s="262">
        <v>0.19</v>
      </c>
      <c r="R42" s="262">
        <v>0.19</v>
      </c>
      <c r="S42" s="262">
        <v>0.19</v>
      </c>
    </row>
    <row r="43" spans="2:27" x14ac:dyDescent="0.25">
      <c r="F43" s="37" t="s">
        <v>296</v>
      </c>
      <c r="G43" s="80" t="s">
        <v>167</v>
      </c>
      <c r="H43" s="37"/>
      <c r="I43" s="37"/>
      <c r="J43" s="68"/>
      <c r="K43" s="262">
        <v>0.41</v>
      </c>
      <c r="L43" s="262">
        <v>0</v>
      </c>
      <c r="M43" s="262">
        <v>0</v>
      </c>
      <c r="N43" s="262">
        <v>0.33</v>
      </c>
      <c r="O43" s="262">
        <v>0.33</v>
      </c>
      <c r="P43" s="262">
        <v>0</v>
      </c>
      <c r="Q43" s="262">
        <v>0.33</v>
      </c>
      <c r="R43" s="262">
        <v>0.33</v>
      </c>
      <c r="S43" s="262">
        <v>0.33</v>
      </c>
    </row>
    <row r="45" spans="2:27" x14ac:dyDescent="0.25">
      <c r="B45" s="30" t="s">
        <v>231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25">
      <c r="E47" t="s">
        <v>232</v>
      </c>
      <c r="G47" s="6" t="s">
        <v>55</v>
      </c>
      <c r="H47" s="24">
        <f t="array" ref="H47">SUM(IF(ISERROR(H15:AA44), 1))</f>
        <v>0</v>
      </c>
    </row>
    <row r="49" spans="2:27" x14ac:dyDescent="0.25">
      <c r="E49" t="s">
        <v>297</v>
      </c>
      <c r="G49" s="6" t="s">
        <v>55</v>
      </c>
      <c r="H49" s="24">
        <f>IF(K19 = 1, 0, 1)</f>
        <v>0</v>
      </c>
    </row>
    <row r="51" spans="2:27" x14ac:dyDescent="0.25">
      <c r="E51" s="32" t="s">
        <v>298</v>
      </c>
    </row>
    <row r="52" spans="2:27" x14ac:dyDescent="0.25">
      <c r="E52" s="29" t="s">
        <v>299</v>
      </c>
    </row>
    <row r="53" spans="2:27" x14ac:dyDescent="0.25">
      <c r="F53" s="23" t="s">
        <v>300</v>
      </c>
      <c r="G53" s="73" t="s">
        <v>55</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25">
      <c r="F54" s="37" t="s">
        <v>192</v>
      </c>
      <c r="G54" s="50" t="s">
        <v>55</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25">
      <c r="E56" t="s">
        <v>239</v>
      </c>
      <c r="G56" s="6" t="s">
        <v>55</v>
      </c>
      <c r="H56" s="26">
        <f>SUM(H47:H54)</f>
        <v>0</v>
      </c>
    </row>
    <row r="58" spans="2:27" x14ac:dyDescent="0.25">
      <c r="B58" s="30" t="s">
        <v>106</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25">
      <c r="K61" s="84"/>
      <c r="L61" s="84"/>
      <c r="M61" s="84"/>
      <c r="O61" s="84"/>
      <c r="P61" s="84"/>
      <c r="Q61" s="84"/>
      <c r="R61" s="84"/>
    </row>
    <row r="62" spans="2:27" x14ac:dyDescent="0.25">
      <c r="K62" s="84"/>
      <c r="L62" s="84"/>
      <c r="M62" s="84"/>
      <c r="O62" s="84"/>
      <c r="P62" s="84"/>
      <c r="Q62" s="84"/>
      <c r="R62" s="84"/>
    </row>
    <row r="63" spans="2:27" x14ac:dyDescent="0.25">
      <c r="K63" s="84"/>
      <c r="L63" s="84"/>
      <c r="M63" s="84"/>
      <c r="O63" s="84"/>
      <c r="P63" s="84"/>
      <c r="Q63" s="84"/>
      <c r="R63" s="84"/>
    </row>
    <row r="64" spans="2:27" x14ac:dyDescent="0.25">
      <c r="K64" s="84"/>
      <c r="L64" s="84"/>
      <c r="M64" s="84"/>
      <c r="O64" s="84"/>
      <c r="P64" s="84"/>
      <c r="Q64" s="84"/>
      <c r="R64" s="84"/>
    </row>
    <row r="65" spans="11:18" x14ac:dyDescent="0.25">
      <c r="K65" s="84"/>
      <c r="L65" s="84"/>
      <c r="M65" s="84"/>
      <c r="O65" s="84"/>
      <c r="P65" s="84"/>
      <c r="Q65" s="84"/>
      <c r="R65" s="84"/>
    </row>
    <row r="66" spans="11:18" x14ac:dyDescent="0.25">
      <c r="K66" s="84"/>
      <c r="L66" s="84"/>
      <c r="M66" s="84"/>
      <c r="O66" s="84"/>
      <c r="P66" s="84"/>
      <c r="Q66" s="84"/>
      <c r="R66" s="84"/>
    </row>
    <row r="67" spans="11:18" x14ac:dyDescent="0.25">
      <c r="K67" s="84"/>
      <c r="L67" s="84"/>
      <c r="M67" s="84"/>
      <c r="O67" s="84"/>
      <c r="P67" s="84"/>
      <c r="Q67" s="84"/>
      <c r="R67" s="84"/>
    </row>
    <row r="68" spans="11:18" x14ac:dyDescent="0.25">
      <c r="K68" s="84"/>
      <c r="L68" s="84"/>
      <c r="M68" s="84"/>
      <c r="O68" s="84"/>
      <c r="P68" s="84"/>
      <c r="Q68" s="84"/>
      <c r="R68" s="84"/>
    </row>
    <row r="69" spans="11:18" x14ac:dyDescent="0.25">
      <c r="K69" s="84"/>
      <c r="L69" s="84"/>
      <c r="M69" s="84"/>
      <c r="O69" s="84"/>
      <c r="P69" s="84"/>
      <c r="Q69" s="84"/>
      <c r="R69" s="84"/>
    </row>
  </sheetData>
  <sheetProtection formatCells="0" formatColumns="0" formatRows="0" sort="0" autoFilter="0"/>
  <conditionalFormatting sqref="H53 K53 N53:O53">
    <cfRule type="cellIs" dxfId="193" priority="13" operator="greaterThan">
      <formula>0</formula>
    </cfRule>
  </conditionalFormatting>
  <conditionalFormatting sqref="H47">
    <cfRule type="cellIs" dxfId="192" priority="11" operator="greaterThan">
      <formula>0</formula>
    </cfRule>
  </conditionalFormatting>
  <conditionalFormatting sqref="Q53:S53">
    <cfRule type="cellIs" dxfId="191" priority="10" operator="greaterThan">
      <formula>0</formula>
    </cfRule>
  </conditionalFormatting>
  <conditionalFormatting sqref="H56">
    <cfRule type="cellIs" dxfId="190" priority="9" operator="greaterThan">
      <formula>0</formula>
    </cfRule>
  </conditionalFormatting>
  <conditionalFormatting sqref="H54">
    <cfRule type="cellIs" dxfId="189" priority="8" operator="greaterThan">
      <formula>0</formula>
    </cfRule>
  </conditionalFormatting>
  <conditionalFormatting sqref="P54">
    <cfRule type="cellIs" dxfId="188" priority="6" operator="greaterThan">
      <formula>0</formula>
    </cfRule>
  </conditionalFormatting>
  <conditionalFormatting sqref="M54">
    <cfRule type="cellIs" dxfId="187" priority="5" operator="greaterThan">
      <formula>0</formula>
    </cfRule>
  </conditionalFormatting>
  <conditionalFormatting sqref="L54">
    <cfRule type="cellIs" dxfId="186" priority="4" operator="greaterThan">
      <formula>0</formula>
    </cfRule>
  </conditionalFormatting>
  <conditionalFormatting sqref="H49">
    <cfRule type="cellIs" dxfId="185" priority="2" operator="greaterThan">
      <formula>0</formula>
    </cfRule>
  </conditionalFormatting>
  <conditionalFormatting sqref="A4:XFD4">
    <cfRule type="expression" dxfId="184" priority="1">
      <formula>LEFT($A$4,1) &lt;&gt; "0"</formula>
    </cfRule>
  </conditionalFormatting>
  <dataValidations count="8">
    <dataValidation type="decimal" operator="greaterThan" allowBlank="1" showInputMessage="1" showErrorMessage="1" sqref="K19" xr:uid="{00000000-0002-0000-0700-000000000000}">
      <formula1>0</formula1>
    </dataValidation>
    <dataValidation type="decimal" allowBlank="1" showInputMessage="1" showErrorMessage="1" errorTitle="Invalid diversity allowance" error="Invalid diversity allowance (negative number or unused cell)." sqref="I17:J17 J19 J15 P17 M15 R15:S15 O15 J21" xr:uid="{00000000-0002-0000-0700-000001000000}">
      <formula1>0</formula1>
      <formula2>4</formula2>
    </dataValidation>
    <dataValidation type="decimal" allowBlank="1" showInputMessage="1" showErrorMessage="1" sqref="L19:O19 Q19:S19" xr:uid="{00000000-0002-0000-0700-000002000000}">
      <formula1>0.001</formula1>
      <formula2>999999.999</formula2>
    </dataValidation>
    <dataValidation type="decimal" allowBlank="1" showInputMessage="1" showErrorMessage="1" errorTitle="Invalid customer contribution" error="Invalid customer contribution (negative number or unused cell)." sqref="L26:S29" xr:uid="{00000000-0002-0000-0700-000003000000}">
      <formula1>0</formula1>
      <formula2>1</formula2>
    </dataValidation>
    <dataValidation type="decimal" operator="greaterThanOrEqual" allowBlank="1" showInputMessage="1" showErrorMessage="1" sqref="L33:S33" xr:uid="{00000000-0002-0000-0700-000004000000}">
      <formula1>0</formula1>
    </dataValidation>
    <dataValidation type="decimal" allowBlank="1" showInputMessage="1" showErrorMessage="1" sqref="P19 P15 K43:S43" xr:uid="{00000000-0002-0000-0700-000005000000}">
      <formula1>0</formula1>
      <formula2>1</formula2>
    </dataValidation>
    <dataValidation type="decimal" allowBlank="1" showErrorMessage="1" prompt="Red, Amber and Green must sum to 100%." sqref="K40:S42" xr:uid="{00000000-0002-0000-0700-000006000000}">
      <formula1>0</formula1>
      <formula2>1</formula2>
    </dataValidation>
    <dataValidation type="decimal" operator="greaterThan" allowBlank="1" showInputMessage="1" showErrorMessage="1" errorTitle="Invalid diversity allowance" error="Invalid diversity allowance (negative number or unused cell)." sqref="N15 K15:L15 Q15" xr:uid="{00000000-0002-0000-0700-000007000000}">
      <formula1>0</formula1>
    </dataValidation>
  </dataValidations>
  <hyperlinks>
    <hyperlink ref="B5:F5" location="'Model map'!A1" display="Click here to return to model map" xr:uid="{00000000-0004-0000-07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5" tint="0.59999389629810485"/>
    <pageSetUpPr fitToPage="1"/>
  </sheetPr>
  <dimension ref="A1:IV116"/>
  <sheetViews>
    <sheetView showGridLines="0" zoomScale="80" zoomScaleNormal="80" workbookViewId="0">
      <pane ySplit="5" topLeftCell="A6" activePane="bottomLeft" state="frozen"/>
      <selection pane="bottomLeft" activeCell="J9" sqref="J9"/>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28515625" hidden="1"/>
  </cols>
  <sheetData>
    <row r="1" spans="1:27" s="1" customFormat="1" x14ac:dyDescent="0.25">
      <c r="A1" s="1" t="str">
        <f ca="1">MID(CELL("filename",A1),FIND("]",CELL("filename",A1))+1,255)</f>
        <v>General inputs</v>
      </c>
    </row>
    <row r="2" spans="1:27" s="1" customFormat="1" x14ac:dyDescent="0.25">
      <c r="A2" s="1" t="str">
        <f>Cover!D21&amp;" - "&amp;Cover!D23</f>
        <v xml:space="preserve">SHEPD  - Final </v>
      </c>
    </row>
    <row r="3" spans="1:27" s="5" customFormat="1" x14ac:dyDescent="0.25">
      <c r="A3" s="5" t="str">
        <f>Cover!D2&amp;" - "&amp;Cover!D8&amp;" v"&amp;Cover!D10&amp;" - "&amp;Cover!D19</f>
        <v>CDCM charging model - Release for charge setting v5 - 2021/22</v>
      </c>
    </row>
    <row r="4" spans="1:27" x14ac:dyDescent="0.25">
      <c r="A4" s="12" t="str">
        <f>H114 &amp; IF(H114 = 1, " issue", " issues") &amp;" identified in checks on this sheet"</f>
        <v>0 issues identified in checks on this sheet</v>
      </c>
      <c r="B4" s="13"/>
      <c r="C4" s="13"/>
      <c r="D4" s="13"/>
      <c r="E4" s="13"/>
      <c r="F4" s="13"/>
      <c r="G4" s="13"/>
      <c r="H4" s="14"/>
      <c r="I4" s="14"/>
      <c r="J4" s="13"/>
    </row>
    <row r="5" spans="1:27" x14ac:dyDescent="0.25">
      <c r="B5" s="59" t="s">
        <v>142</v>
      </c>
      <c r="C5" s="60"/>
      <c r="D5" s="60"/>
      <c r="E5" s="60"/>
      <c r="F5" s="60"/>
      <c r="G5" s="21" t="s">
        <v>143</v>
      </c>
      <c r="H5" s="93" t="s">
        <v>144</v>
      </c>
      <c r="J5" s="61" t="s">
        <v>145</v>
      </c>
    </row>
    <row r="6" spans="1:27" x14ac:dyDescent="0.25">
      <c r="G6" s="13"/>
    </row>
    <row r="7" spans="1:27" x14ac:dyDescent="0.25">
      <c r="B7" s="30" t="s">
        <v>10</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25">
      <c r="G8" s="13"/>
    </row>
    <row r="9" spans="1:27" x14ac:dyDescent="0.25">
      <c r="C9" s="29" t="s">
        <v>301</v>
      </c>
      <c r="G9" s="13"/>
    </row>
    <row r="10" spans="1:27" x14ac:dyDescent="0.25">
      <c r="G10" s="13"/>
    </row>
    <row r="11" spans="1:27" x14ac:dyDescent="0.25">
      <c r="B11" s="30" t="s">
        <v>60</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25">
      <c r="G12" s="13"/>
    </row>
    <row r="13" spans="1:27" x14ac:dyDescent="0.25">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25">
      <c r="G14" s="13"/>
    </row>
    <row r="15" spans="1:27" x14ac:dyDescent="0.25">
      <c r="D15" s="32" t="s">
        <v>302</v>
      </c>
      <c r="E15" s="32"/>
      <c r="G15" s="13"/>
      <c r="I15" t="s">
        <v>154</v>
      </c>
      <c r="J15" t="s">
        <v>303</v>
      </c>
    </row>
    <row r="16" spans="1:27" x14ac:dyDescent="0.25">
      <c r="E16" s="64" t="s">
        <v>296</v>
      </c>
      <c r="F16" s="64"/>
      <c r="G16" s="85" t="s">
        <v>304</v>
      </c>
      <c r="H16" s="257">
        <v>258</v>
      </c>
    </row>
    <row r="17" spans="3:27" x14ac:dyDescent="0.25">
      <c r="E17" s="28" t="s">
        <v>305</v>
      </c>
      <c r="F17" s="28"/>
      <c r="G17" s="13" t="s">
        <v>304</v>
      </c>
      <c r="H17" s="258">
        <v>4228</v>
      </c>
    </row>
    <row r="18" spans="3:27" x14ac:dyDescent="0.25">
      <c r="E18" s="67" t="s">
        <v>257</v>
      </c>
      <c r="F18" s="67"/>
      <c r="G18" s="86" t="s">
        <v>304</v>
      </c>
      <c r="H18" s="260">
        <v>4274</v>
      </c>
    </row>
    <row r="19" spans="3:27" x14ac:dyDescent="0.25">
      <c r="G19" s="13"/>
      <c r="H19" s="89"/>
    </row>
    <row r="20" spans="3:27" x14ac:dyDescent="0.25">
      <c r="D20" s="32" t="s">
        <v>306</v>
      </c>
      <c r="E20" s="32"/>
      <c r="G20" s="13"/>
      <c r="H20" s="89"/>
      <c r="I20" t="s">
        <v>154</v>
      </c>
      <c r="J20" t="s">
        <v>303</v>
      </c>
    </row>
    <row r="21" spans="3:27" x14ac:dyDescent="0.25">
      <c r="E21" s="23" t="s">
        <v>294</v>
      </c>
      <c r="F21" s="23"/>
      <c r="G21" s="85" t="s">
        <v>304</v>
      </c>
      <c r="H21" s="257">
        <v>783</v>
      </c>
    </row>
    <row r="22" spans="3:27" x14ac:dyDescent="0.25">
      <c r="E22" t="s">
        <v>295</v>
      </c>
      <c r="G22" s="13" t="s">
        <v>304</v>
      </c>
      <c r="H22" s="258">
        <v>3703</v>
      </c>
    </row>
    <row r="23" spans="3:27" x14ac:dyDescent="0.25">
      <c r="E23" s="37" t="s">
        <v>257</v>
      </c>
      <c r="F23" s="37"/>
      <c r="G23" s="86" t="s">
        <v>304</v>
      </c>
      <c r="H23" s="260">
        <v>4274</v>
      </c>
    </row>
    <row r="24" spans="3:27" x14ac:dyDescent="0.25">
      <c r="G24" s="13"/>
    </row>
    <row r="25" spans="3:27" x14ac:dyDescent="0.25">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25">
      <c r="G26" s="13"/>
    </row>
    <row r="27" spans="3:27" x14ac:dyDescent="0.25">
      <c r="D27" s="29" t="s">
        <v>307</v>
      </c>
      <c r="E27" s="29"/>
      <c r="G27" s="13"/>
    </row>
    <row r="28" spans="3:27" x14ac:dyDescent="0.25">
      <c r="D28" s="29"/>
      <c r="E28" s="29"/>
      <c r="G28" s="13"/>
    </row>
    <row r="29" spans="3:27" x14ac:dyDescent="0.25">
      <c r="D29" s="32" t="s">
        <v>308</v>
      </c>
      <c r="E29" s="32"/>
      <c r="G29" s="13"/>
      <c r="I29" t="s">
        <v>154</v>
      </c>
      <c r="J29" t="s">
        <v>309</v>
      </c>
    </row>
    <row r="30" spans="3:27" x14ac:dyDescent="0.25">
      <c r="E30" s="64" t="s">
        <v>175</v>
      </c>
      <c r="F30" s="23"/>
      <c r="G30" s="78" t="s">
        <v>167</v>
      </c>
      <c r="H30" s="261">
        <v>0.29479317285654288</v>
      </c>
    </row>
    <row r="31" spans="3:27" x14ac:dyDescent="0.25">
      <c r="E31" s="28" t="s">
        <v>177</v>
      </c>
      <c r="G31" s="72" t="s">
        <v>167</v>
      </c>
      <c r="H31" s="256">
        <v>0.54819720177752518</v>
      </c>
    </row>
    <row r="32" spans="3:27" x14ac:dyDescent="0.25">
      <c r="E32" s="28" t="s">
        <v>178</v>
      </c>
      <c r="G32" s="72" t="s">
        <v>167</v>
      </c>
      <c r="H32" s="256">
        <v>0.34468988968544823</v>
      </c>
    </row>
    <row r="33" spans="3:27" x14ac:dyDescent="0.25">
      <c r="E33" s="67" t="s">
        <v>179</v>
      </c>
      <c r="F33" s="37"/>
      <c r="G33" s="80" t="s">
        <v>167</v>
      </c>
      <c r="H33" s="262">
        <v>0.28277507764655163</v>
      </c>
    </row>
    <row r="34" spans="3:27" x14ac:dyDescent="0.25">
      <c r="G34" s="13"/>
    </row>
    <row r="35" spans="3:27" x14ac:dyDescent="0.25">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25">
      <c r="D37" s="29" t="s">
        <v>310</v>
      </c>
      <c r="E37" s="29"/>
      <c r="G37" s="13"/>
      <c r="H37" s="13"/>
      <c r="I37" t="s">
        <v>154</v>
      </c>
      <c r="J37" t="s">
        <v>311</v>
      </c>
      <c r="K37" s="13"/>
      <c r="L37" s="13"/>
      <c r="M37" s="13"/>
      <c r="N37" s="13"/>
      <c r="O37" s="13"/>
      <c r="P37" s="13"/>
      <c r="Q37" s="13"/>
      <c r="R37" s="13"/>
      <c r="S37" s="13"/>
    </row>
    <row r="38" spans="3:27" x14ac:dyDescent="0.25">
      <c r="D38" s="29" t="s">
        <v>939</v>
      </c>
      <c r="E38" s="29"/>
      <c r="G38" s="13"/>
      <c r="H38" s="13"/>
      <c r="I38" s="13"/>
      <c r="J38" s="97"/>
      <c r="K38" s="13"/>
      <c r="L38" s="13"/>
      <c r="M38" s="13"/>
      <c r="N38" s="13"/>
      <c r="O38" s="13"/>
      <c r="P38" s="13"/>
      <c r="Q38" s="13"/>
      <c r="R38" s="13"/>
      <c r="S38" s="13"/>
    </row>
    <row r="39" spans="3:27" x14ac:dyDescent="0.25">
      <c r="E39" s="32"/>
    </row>
    <row r="40" spans="3:27" x14ac:dyDescent="0.25">
      <c r="E40" t="s">
        <v>312</v>
      </c>
      <c r="G40" t="s">
        <v>277</v>
      </c>
      <c r="H40" s="258">
        <v>257100000.00000003</v>
      </c>
    </row>
    <row r="41" spans="3:27" x14ac:dyDescent="0.25">
      <c r="E41" t="s">
        <v>313</v>
      </c>
      <c r="G41" t="s">
        <v>277</v>
      </c>
      <c r="H41" s="258">
        <v>50600000</v>
      </c>
    </row>
    <row r="42" spans="3:27" x14ac:dyDescent="0.25">
      <c r="E42" t="s">
        <v>314</v>
      </c>
      <c r="G42" t="s">
        <v>277</v>
      </c>
      <c r="H42" s="258">
        <v>-1770922.3889989401</v>
      </c>
    </row>
    <row r="43" spans="3:27" x14ac:dyDescent="0.25">
      <c r="E43" s="37" t="s">
        <v>315</v>
      </c>
      <c r="F43" s="37"/>
      <c r="G43" s="37" t="s">
        <v>283</v>
      </c>
      <c r="H43" s="260">
        <v>1.2609999999999999</v>
      </c>
    </row>
    <row r="44" spans="3:27" x14ac:dyDescent="0.25">
      <c r="E44" t="s">
        <v>316</v>
      </c>
      <c r="G44" t="s">
        <v>277</v>
      </c>
      <c r="H44" s="98">
        <f>SUM(H40:H42)</f>
        <v>305929077.61100107</v>
      </c>
    </row>
    <row r="45" spans="3:27" x14ac:dyDescent="0.25">
      <c r="E45" t="s">
        <v>317</v>
      </c>
      <c r="G45" t="s">
        <v>277</v>
      </c>
      <c r="H45" s="98">
        <f>H44 * (H43 - 1)</f>
        <v>79847489.256471246</v>
      </c>
    </row>
    <row r="46" spans="3:27" x14ac:dyDescent="0.25">
      <c r="H46" s="89"/>
    </row>
    <row r="47" spans="3:27" x14ac:dyDescent="0.25">
      <c r="E47" t="s">
        <v>318</v>
      </c>
      <c r="G47" t="s">
        <v>277</v>
      </c>
      <c r="H47" s="258">
        <v>133085.69791745101</v>
      </c>
    </row>
    <row r="48" spans="3:27" x14ac:dyDescent="0.25">
      <c r="E48" t="s">
        <v>319</v>
      </c>
      <c r="G48" t="s">
        <v>277</v>
      </c>
      <c r="H48" s="258">
        <v>-7103748.3749331804</v>
      </c>
    </row>
    <row r="49" spans="5:8" x14ac:dyDescent="0.25">
      <c r="E49" t="s">
        <v>320</v>
      </c>
      <c r="G49" t="s">
        <v>277</v>
      </c>
      <c r="H49" s="258">
        <v>-4515730.8905052003</v>
      </c>
    </row>
    <row r="50" spans="5:8" x14ac:dyDescent="0.25">
      <c r="E50" t="s">
        <v>321</v>
      </c>
      <c r="G50" t="s">
        <v>277</v>
      </c>
      <c r="H50" s="258">
        <v>743464.06815723993</v>
      </c>
    </row>
    <row r="51" spans="5:8" x14ac:dyDescent="0.25">
      <c r="E51" t="s">
        <v>322</v>
      </c>
      <c r="G51" t="s">
        <v>277</v>
      </c>
      <c r="H51" s="258">
        <v>-324703.82599832898</v>
      </c>
    </row>
    <row r="52" spans="5:8" x14ac:dyDescent="0.25">
      <c r="E52" t="s">
        <v>323</v>
      </c>
      <c r="G52" t="s">
        <v>277</v>
      </c>
      <c r="H52" s="258">
        <v>-134583.33685796999</v>
      </c>
    </row>
    <row r="53" spans="5:8" x14ac:dyDescent="0.25">
      <c r="E53" t="s">
        <v>1033</v>
      </c>
      <c r="G53" t="s">
        <v>277</v>
      </c>
      <c r="H53" s="258">
        <v>110973.63110334201</v>
      </c>
    </row>
    <row r="54" spans="5:8" x14ac:dyDescent="0.25">
      <c r="E54" t="s">
        <v>1034</v>
      </c>
      <c r="G54" t="s">
        <v>277</v>
      </c>
      <c r="H54" s="258">
        <v>1324362.4650457399</v>
      </c>
    </row>
    <row r="55" spans="5:8" x14ac:dyDescent="0.25">
      <c r="E55" s="37" t="s">
        <v>324</v>
      </c>
      <c r="F55" s="37"/>
      <c r="G55" s="37" t="s">
        <v>277</v>
      </c>
      <c r="H55" s="260">
        <v>-90178660.073391497</v>
      </c>
    </row>
    <row r="56" spans="5:8" x14ac:dyDescent="0.25">
      <c r="E56" t="s">
        <v>325</v>
      </c>
      <c r="G56" t="s">
        <v>277</v>
      </c>
      <c r="H56" s="99">
        <f>SUM(H47:H55)</f>
        <v>-99945540.639462411</v>
      </c>
    </row>
    <row r="57" spans="5:8" x14ac:dyDescent="0.25">
      <c r="H57" s="89"/>
    </row>
    <row r="58" spans="5:8" x14ac:dyDescent="0.25">
      <c r="E58" t="s">
        <v>326</v>
      </c>
      <c r="G58" t="s">
        <v>277</v>
      </c>
      <c r="H58" s="258">
        <v>2378894.4518238502</v>
      </c>
    </row>
    <row r="59" spans="5:8" x14ac:dyDescent="0.25">
      <c r="E59" t="s">
        <v>327</v>
      </c>
      <c r="G59" t="s">
        <v>277</v>
      </c>
      <c r="H59" s="258">
        <v>2673843.51316826</v>
      </c>
    </row>
    <row r="60" spans="5:8" x14ac:dyDescent="0.25">
      <c r="E60" t="s">
        <v>328</v>
      </c>
      <c r="G60" t="s">
        <v>277</v>
      </c>
      <c r="H60" s="258">
        <v>0</v>
      </c>
    </row>
    <row r="61" spans="5:8" x14ac:dyDescent="0.25">
      <c r="E61" t="s">
        <v>329</v>
      </c>
      <c r="G61" t="s">
        <v>277</v>
      </c>
      <c r="H61" s="258">
        <v>951557.78072953899</v>
      </c>
    </row>
    <row r="62" spans="5:8" x14ac:dyDescent="0.25">
      <c r="E62" t="s">
        <v>330</v>
      </c>
      <c r="G62" t="s">
        <v>277</v>
      </c>
      <c r="H62" s="258">
        <v>0</v>
      </c>
    </row>
    <row r="63" spans="5:8" x14ac:dyDescent="0.25">
      <c r="E63" t="s">
        <v>331</v>
      </c>
      <c r="G63" t="s">
        <v>277</v>
      </c>
      <c r="H63" s="258">
        <v>1514700</v>
      </c>
    </row>
    <row r="64" spans="5:8" x14ac:dyDescent="0.25">
      <c r="E64" t="s">
        <v>332</v>
      </c>
      <c r="G64" t="s">
        <v>277</v>
      </c>
      <c r="H64" s="258">
        <v>0</v>
      </c>
    </row>
    <row r="65" spans="5:8" x14ac:dyDescent="0.25">
      <c r="E65" t="s">
        <v>333</v>
      </c>
      <c r="G65" t="s">
        <v>277</v>
      </c>
      <c r="H65" s="258">
        <v>-58486.835394661299</v>
      </c>
    </row>
    <row r="66" spans="5:8" x14ac:dyDescent="0.25">
      <c r="E66" t="s">
        <v>334</v>
      </c>
      <c r="G66" t="s">
        <v>277</v>
      </c>
      <c r="H66" s="258">
        <v>0</v>
      </c>
    </row>
    <row r="67" spans="5:8" x14ac:dyDescent="0.25">
      <c r="E67" t="s">
        <v>335</v>
      </c>
      <c r="G67" t="s">
        <v>277</v>
      </c>
      <c r="H67" s="258">
        <v>0</v>
      </c>
    </row>
    <row r="68" spans="5:8" x14ac:dyDescent="0.25">
      <c r="E68" s="37" t="s">
        <v>336</v>
      </c>
      <c r="F68" s="37"/>
      <c r="G68" s="37" t="s">
        <v>277</v>
      </c>
      <c r="H68" s="260">
        <v>0</v>
      </c>
    </row>
    <row r="69" spans="5:8" x14ac:dyDescent="0.25">
      <c r="E69" t="s">
        <v>337</v>
      </c>
      <c r="G69" t="s">
        <v>277</v>
      </c>
      <c r="H69" s="98">
        <f>SUM(H58:H68)</f>
        <v>7460508.9103269875</v>
      </c>
    </row>
    <row r="70" spans="5:8" x14ac:dyDescent="0.25">
      <c r="H70" s="89"/>
    </row>
    <row r="71" spans="5:8" x14ac:dyDescent="0.25">
      <c r="E71" s="37" t="s">
        <v>338</v>
      </c>
      <c r="F71" s="37"/>
      <c r="G71" s="37" t="s">
        <v>277</v>
      </c>
      <c r="H71" s="260">
        <v>-40772779.842306696</v>
      </c>
    </row>
    <row r="72" spans="5:8" x14ac:dyDescent="0.25">
      <c r="E72" t="s">
        <v>339</v>
      </c>
      <c r="G72" t="s">
        <v>277</v>
      </c>
      <c r="H72" s="98">
        <f>H71 + H69 + H56 + H45 + H44</f>
        <v>252518755.29603019</v>
      </c>
    </row>
    <row r="73" spans="5:8" x14ac:dyDescent="0.25">
      <c r="H73" s="89"/>
    </row>
    <row r="74" spans="5:8" x14ac:dyDescent="0.25">
      <c r="E74" t="s">
        <v>340</v>
      </c>
      <c r="G74" t="s">
        <v>277</v>
      </c>
      <c r="H74" s="258">
        <v>0</v>
      </c>
    </row>
    <row r="75" spans="5:8" x14ac:dyDescent="0.25">
      <c r="E75" t="s">
        <v>341</v>
      </c>
      <c r="G75" t="s">
        <v>277</v>
      </c>
      <c r="H75" s="258">
        <v>0</v>
      </c>
    </row>
    <row r="76" spans="5:8" x14ac:dyDescent="0.25">
      <c r="E76" t="s">
        <v>342</v>
      </c>
      <c r="G76" t="s">
        <v>277</v>
      </c>
      <c r="H76" s="258">
        <v>0</v>
      </c>
    </row>
    <row r="77" spans="5:8" x14ac:dyDescent="0.25">
      <c r="E77" t="s">
        <v>343</v>
      </c>
      <c r="G77" t="s">
        <v>277</v>
      </c>
      <c r="H77" s="258">
        <v>0</v>
      </c>
    </row>
    <row r="78" spans="5:8" x14ac:dyDescent="0.25">
      <c r="E78" s="37" t="s">
        <v>344</v>
      </c>
      <c r="F78" s="37"/>
      <c r="G78" s="37" t="s">
        <v>277</v>
      </c>
      <c r="H78" s="260">
        <v>0</v>
      </c>
    </row>
    <row r="79" spans="5:8" x14ac:dyDescent="0.25">
      <c r="E79" s="37" t="s">
        <v>345</v>
      </c>
      <c r="F79" s="37"/>
      <c r="G79" s="37" t="s">
        <v>277</v>
      </c>
      <c r="H79" s="100">
        <f>SUM(H74:H78)</f>
        <v>0</v>
      </c>
    </row>
    <row r="80" spans="5:8" x14ac:dyDescent="0.25">
      <c r="E80" t="s">
        <v>346</v>
      </c>
      <c r="G80" t="s">
        <v>277</v>
      </c>
      <c r="H80" s="99">
        <f>H72+H79</f>
        <v>252518755.29603019</v>
      </c>
    </row>
    <row r="81" spans="3:27" x14ac:dyDescent="0.25">
      <c r="H81" s="89"/>
    </row>
    <row r="82" spans="3:27" x14ac:dyDescent="0.25">
      <c r="E82" t="s">
        <v>347</v>
      </c>
      <c r="G82" t="s">
        <v>277</v>
      </c>
      <c r="H82" s="258">
        <v>6865048.4946999969</v>
      </c>
    </row>
    <row r="83" spans="3:27" x14ac:dyDescent="0.25">
      <c r="E83" t="s">
        <v>348</v>
      </c>
      <c r="G83" t="s">
        <v>277</v>
      </c>
      <c r="H83" s="258"/>
    </row>
    <row r="84" spans="3:27" x14ac:dyDescent="0.25">
      <c r="E84" t="s">
        <v>349</v>
      </c>
      <c r="G84" t="s">
        <v>277</v>
      </c>
      <c r="H84" s="258"/>
    </row>
    <row r="85" spans="3:27" x14ac:dyDescent="0.25">
      <c r="E85" s="37" t="s">
        <v>350</v>
      </c>
      <c r="F85" s="37"/>
      <c r="G85" s="37" t="s">
        <v>277</v>
      </c>
      <c r="H85" s="260"/>
    </row>
    <row r="86" spans="3:27" x14ac:dyDescent="0.25">
      <c r="E86" t="s">
        <v>351</v>
      </c>
      <c r="G86" t="s">
        <v>277</v>
      </c>
      <c r="H86" s="98">
        <f>SUM(H82:H85)</f>
        <v>6865048.4946999969</v>
      </c>
    </row>
    <row r="87" spans="3:27" x14ac:dyDescent="0.25">
      <c r="E87" s="23" t="s">
        <v>352</v>
      </c>
      <c r="F87" s="23"/>
      <c r="G87" s="23" t="s">
        <v>277</v>
      </c>
      <c r="H87" s="101">
        <f>H80-H86</f>
        <v>245653706.80133021</v>
      </c>
    </row>
    <row r="88" spans="3:27" x14ac:dyDescent="0.25">
      <c r="H88" s="102"/>
    </row>
    <row r="89" spans="3:27" x14ac:dyDescent="0.25">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25">
      <c r="E91" s="28" t="s">
        <v>353</v>
      </c>
      <c r="G91" t="s">
        <v>167</v>
      </c>
      <c r="H91" s="263">
        <v>3.6900000000000002E-2</v>
      </c>
      <c r="I91" t="s">
        <v>154</v>
      </c>
      <c r="J91" s="3" t="s">
        <v>165</v>
      </c>
    </row>
    <row r="92" spans="3:27" x14ac:dyDescent="0.25">
      <c r="E92" s="28" t="s">
        <v>127</v>
      </c>
      <c r="G92" s="28" t="s">
        <v>354</v>
      </c>
      <c r="H92" s="247">
        <v>365</v>
      </c>
    </row>
    <row r="93" spans="3:27" x14ac:dyDescent="0.25">
      <c r="E93" t="s">
        <v>355</v>
      </c>
      <c r="G93" t="s">
        <v>147</v>
      </c>
      <c r="H93" s="103">
        <f>days_in_year * hours_in_day</f>
        <v>8760</v>
      </c>
    </row>
    <row r="95" spans="3:27" x14ac:dyDescent="0.25">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25">
      <c r="E97" s="28" t="s">
        <v>356</v>
      </c>
      <c r="G97" t="s">
        <v>357</v>
      </c>
      <c r="H97" s="258">
        <v>23095615.60577311</v>
      </c>
      <c r="I97" t="s">
        <v>154</v>
      </c>
      <c r="J97" t="s">
        <v>358</v>
      </c>
    </row>
    <row r="98" spans="2:27" x14ac:dyDescent="0.25">
      <c r="H98" s="89"/>
    </row>
    <row r="99" spans="2:27" x14ac:dyDescent="0.25">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25">
      <c r="H100" s="89"/>
    </row>
    <row r="101" spans="2:27" x14ac:dyDescent="0.25">
      <c r="E101" s="32" t="s">
        <v>359</v>
      </c>
      <c r="F101" s="32"/>
      <c r="H101" s="89"/>
      <c r="I101" t="s">
        <v>154</v>
      </c>
      <c r="J101" t="s">
        <v>170</v>
      </c>
    </row>
    <row r="102" spans="2:27" x14ac:dyDescent="0.25">
      <c r="F102" s="64" t="s">
        <v>360</v>
      </c>
      <c r="G102" s="23" t="s">
        <v>357</v>
      </c>
      <c r="H102" s="257">
        <v>26026834.920788765</v>
      </c>
    </row>
    <row r="103" spans="2:27" x14ac:dyDescent="0.25">
      <c r="F103" s="28" t="s">
        <v>361</v>
      </c>
      <c r="G103" t="s">
        <v>357</v>
      </c>
      <c r="H103" s="258">
        <v>62949213.71955388</v>
      </c>
      <c r="R103" s="88"/>
      <c r="S103" s="88"/>
    </row>
    <row r="104" spans="2:27" x14ac:dyDescent="0.25">
      <c r="F104" s="67" t="s">
        <v>362</v>
      </c>
      <c r="G104" s="37" t="s">
        <v>357</v>
      </c>
      <c r="H104" s="260">
        <v>24967174.493285995</v>
      </c>
      <c r="R104" s="88"/>
      <c r="S104" s="88"/>
    </row>
    <row r="106" spans="2:27" x14ac:dyDescent="0.25">
      <c r="B106" s="30" t="s">
        <v>231</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25">
      <c r="E108" t="s">
        <v>232</v>
      </c>
      <c r="G108" s="6" t="s">
        <v>55</v>
      </c>
      <c r="H108" s="24">
        <f t="array" ref="H108">SUM(IF(ISERROR(H6:H105), 1))</f>
        <v>0</v>
      </c>
    </row>
    <row r="110" spans="2:27" x14ac:dyDescent="0.25">
      <c r="E110" s="32" t="s">
        <v>363</v>
      </c>
    </row>
    <row r="111" spans="2:27" x14ac:dyDescent="0.25">
      <c r="F111" s="23" t="s">
        <v>364</v>
      </c>
      <c r="G111" s="73" t="s">
        <v>55</v>
      </c>
      <c r="H111" s="74">
        <f>IF(SUM(H16:H18) = hours_in_year, 0, 1)</f>
        <v>0</v>
      </c>
    </row>
    <row r="112" spans="2:27" x14ac:dyDescent="0.25">
      <c r="F112" s="37" t="s">
        <v>365</v>
      </c>
      <c r="G112" s="50" t="s">
        <v>55</v>
      </c>
      <c r="H112" s="75">
        <f>IF(SUM(H21:H23) = hours_in_year, 0, 1)</f>
        <v>0</v>
      </c>
    </row>
    <row r="114" spans="2:27" x14ac:dyDescent="0.25">
      <c r="E114" t="s">
        <v>239</v>
      </c>
      <c r="G114" s="6" t="s">
        <v>55</v>
      </c>
      <c r="H114" s="26">
        <f>SUM(H108,H111:H112)</f>
        <v>0</v>
      </c>
    </row>
    <row r="116" spans="2:27" x14ac:dyDescent="0.25">
      <c r="B116" s="30" t="s">
        <v>106</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3" priority="4" operator="greaterThan">
      <formula>0</formula>
    </cfRule>
  </conditionalFormatting>
  <conditionalFormatting sqref="H111:H114">
    <cfRule type="cellIs" dxfId="182" priority="3" operator="greaterThan">
      <formula>0</formula>
    </cfRule>
  </conditionalFormatting>
  <conditionalFormatting sqref="H114">
    <cfRule type="cellIs" dxfId="181" priority="2" operator="greaterThan">
      <formula>0</formula>
    </cfRule>
  </conditionalFormatting>
  <conditionalFormatting sqref="A4:XFD4">
    <cfRule type="expression" dxfId="180" priority="1">
      <formula>LEFT($A$4,1) &lt;&gt; "0"</formula>
    </cfRule>
  </conditionalFormatting>
  <dataValidations count="5">
    <dataValidation type="decimal" allowBlank="1" showInputMessage="1" showErrorMessage="1" errorTitle="Invalid LDNO discount" error="Invalid LDNO discount (negative number or unused cell)." sqref="H30:H33" xr:uid="{00000000-0002-0000-0800-000000000000}">
      <formula1>0</formula1>
      <formula2>1</formula2>
    </dataValidation>
    <dataValidation type="decimal" allowBlank="1" showInputMessage="1" showErrorMessage="1" sqref="H92" xr:uid="{00000000-0002-0000-0800-000001000000}">
      <formula1>365</formula1>
      <formula2>366</formula2>
    </dataValidation>
    <dataValidation type="decimal" operator="greaterThanOrEqual" allowBlank="1" showInputMessage="1" showErrorMessage="1" sqref="H102:H104 H16:H18 H97 H21:H23" xr:uid="{00000000-0002-0000-0800-000002000000}">
      <formula1>0</formula1>
    </dataValidation>
    <dataValidation type="decimal" operator="greaterThanOrEqual" allowBlank="1" showInputMessage="1" showErrorMessage="1" error="The rate of return must be a non-negative percentage value." sqref="H91" xr:uid="{00000000-0002-0000-0800-000003000000}">
      <formula1>0</formula1>
    </dataValidation>
    <dataValidation type="whole" allowBlank="1" showInputMessage="1" showErrorMessage="1" sqref="H93" xr:uid="{00000000-0002-0000-0800-000004000000}">
      <formula1>0</formula1>
      <formula2>9999</formula2>
    </dataValidation>
  </dataValidations>
  <hyperlinks>
    <hyperlink ref="B5:F5" location="'Model map'!A1" display="Click here to return to model map" xr:uid="{00000000-0004-0000-0800-000000000000}"/>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94CB75-57A5-4AC1-BF92-43D7C5115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433340-7BEC-4F3D-99D4-81DABA0ADC90}">
  <ds:schemaRefs>
    <ds:schemaRef ds:uri="dcbf8a88-e063-4a69-82e9-42d02808f636"/>
    <ds:schemaRef ds:uri="df11e38d-df47-44a9-bb81-9cb5331e96c9"/>
    <ds:schemaRef ds:uri="http://www.w3.org/XML/1998/namespac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Reactive power charges</vt:lpstr>
      <vt:lpstr>Capacity charges</vt:lpstr>
      <vt:lpstr>Fixed charges</vt:lpstr>
      <vt:lpstr>Revenue matching</vt:lpstr>
      <vt:lpstr>Fixed charge adder</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Clark, Emma</cp:lastModifiedBy>
  <cp:revision/>
  <dcterms:created xsi:type="dcterms:W3CDTF">2017-07-12T09:37:31Z</dcterms:created>
  <dcterms:modified xsi:type="dcterms:W3CDTF">2019-12-19T10:50:43Z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ies>
</file>